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codeName="EstaPastaDeTrabalho" defaultThemeVersion="124226"/>
  <mc:AlternateContent xmlns:mc="http://schemas.openxmlformats.org/markup-compatibility/2006">
    <mc:Choice Requires="x15">
      <x15ac:absPath xmlns:x15ac="http://schemas.microsoft.com/office/spreadsheetml/2010/11/ac" url="D:\PRJ\ORÇAMENTO\BAHIA\SAA-ETA BOM JESUS DA LAPA\EST-SUL DA BAHIA-08-21\QUANTITATIVOS\"/>
    </mc:Choice>
  </mc:AlternateContent>
  <xr:revisionPtr revIDLastSave="0" documentId="13_ncr:1_{5EC53487-B64A-416F-A246-F8947B11754A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ESC AAB" sheetId="83" r:id="rId1"/>
    <sheet name="ESC ETA-EER" sheetId="27" r:id="rId2"/>
    <sheet name="ESC ETA-ESG" sheetId="29" r:id="rId3"/>
    <sheet name="ESC ETA-DRE" sheetId="30" r:id="rId4"/>
    <sheet name="ESC ETA-INT" sheetId="32" r:id="rId5"/>
    <sheet name="CAPTAÇÃO" sheetId="13" r:id="rId6"/>
    <sheet name="CX AAB" sheetId="17" r:id="rId7"/>
    <sheet name="ETA-CABINE" sheetId="18" r:id="rId8"/>
    <sheet name="ETA-ELETRICA ETA PRE" sheetId="19" r:id="rId9"/>
    <sheet name="ETA-EAT" sheetId="20" r:id="rId10"/>
    <sheet name="ETA-ELETRICA E CABINE" sheetId="21" r:id="rId11"/>
    <sheet name="ETA-UTR" sheetId="24" r:id="rId12"/>
    <sheet name="ETA-CQ" sheetId="25" r:id="rId13"/>
    <sheet name="ETA-EER" sheetId="26" r:id="rId14"/>
    <sheet name="PESO FoFo" sheetId="15" r:id="rId15"/>
  </sheets>
  <definedNames>
    <definedName name="_xlnm._FilterDatabase" localSheetId="0" hidden="1">'ESC AAB'!$A$4:$AK$38</definedName>
    <definedName name="_xlnm._FilterDatabase" localSheetId="3" hidden="1">'ESC ETA-DRE'!$A$4:$BE$26</definedName>
    <definedName name="_xlnm._FilterDatabase" localSheetId="1" hidden="1">'ESC ETA-EER'!$A$4:$AK$28</definedName>
    <definedName name="_xlnm._FilterDatabase" localSheetId="2" hidden="1">'ESC ETA-ESG'!$A$4:$AJ$21</definedName>
    <definedName name="_xlnm._FilterDatabase" localSheetId="4" hidden="1">'ESC ETA-INT'!$A$4:$AM$7</definedName>
    <definedName name="_xlnm.Print_Area" localSheetId="5">CAPTAÇÃO!$A$1:$E$157</definedName>
    <definedName name="_xlnm.Print_Area" localSheetId="6">'CX AAB'!$A$1:$E$65</definedName>
    <definedName name="_xlnm.Print_Area" localSheetId="0">'ESC AAB'!$B$2:$AL$55</definedName>
    <definedName name="_xlnm.Print_Area" localSheetId="3">'ESC ETA-DRE'!$A$2:$BE$42</definedName>
    <definedName name="_xlnm.Print_Area" localSheetId="1">'ESC ETA-EER'!$B$2:$AL$44</definedName>
    <definedName name="_xlnm.Print_Area" localSheetId="2">'ESC ETA-ESG'!$B$2:$AK$39</definedName>
    <definedName name="_xlnm.Print_Area" localSheetId="4">'ESC ETA-INT'!$B$2:$AN$23</definedName>
    <definedName name="_xlnm.Print_Area" localSheetId="7">'ETA-CABINE'!$A$1:$E$116</definedName>
    <definedName name="_xlnm.Print_Area" localSheetId="12">'ETA-CQ'!$A$1:$E$172</definedName>
    <definedName name="_xlnm.Print_Area" localSheetId="9">'ETA-EAT'!$A$1:$E$186</definedName>
    <definedName name="_xlnm.Print_Area" localSheetId="13">'ETA-EER'!$A$1:$E$70</definedName>
    <definedName name="_xlnm.Print_Area" localSheetId="10">'ETA-ELETRICA E CABINE'!$A$1:$E$122</definedName>
    <definedName name="_xlnm.Print_Area" localSheetId="8">'ETA-ELETRICA ETA PRE'!$A$1:$E$114</definedName>
    <definedName name="_xlnm.Print_Area" localSheetId="11">'ETA-UTR'!$A$1:$E$88</definedName>
    <definedName name="_xlnm.Print_Area" localSheetId="14">'PESO FoFo'!$A$1:$I$79</definedName>
    <definedName name="_xlnm.Print_Titles" localSheetId="5">CAPTAÇÃO!$1:$4</definedName>
    <definedName name="_xlnm.Print_Titles" localSheetId="6">'CX AAB'!$1:$4</definedName>
    <definedName name="_xlnm.Print_Titles" localSheetId="0">'ESC AAB'!$2:$4</definedName>
    <definedName name="_xlnm.Print_Titles" localSheetId="3">'ESC ETA-DRE'!$2:$4</definedName>
    <definedName name="_xlnm.Print_Titles" localSheetId="1">'ESC ETA-EER'!$2:$4</definedName>
    <definedName name="_xlnm.Print_Titles" localSheetId="2">'ESC ETA-ESG'!$2:$4</definedName>
    <definedName name="_xlnm.Print_Titles" localSheetId="4">'ESC ETA-INT'!$2:$4</definedName>
    <definedName name="_xlnm.Print_Titles" localSheetId="7">'ETA-CABINE'!$1:$4</definedName>
    <definedName name="_xlnm.Print_Titles" localSheetId="12">'ETA-CQ'!$1:$4</definedName>
    <definedName name="_xlnm.Print_Titles" localSheetId="9">'ETA-EAT'!$1:$4</definedName>
    <definedName name="_xlnm.Print_Titles" localSheetId="13">'ETA-EER'!$1:$4</definedName>
    <definedName name="_xlnm.Print_Titles" localSheetId="10">'ETA-ELETRICA E CABINE'!$1:$4</definedName>
    <definedName name="_xlnm.Print_Titles" localSheetId="8">'ETA-ELETRICA ETA PRE'!$1:$4</definedName>
    <definedName name="_xlnm.Print_Titles" localSheetId="11">'ETA-UTR'!$1:$4</definedName>
    <definedName name="_xlnm.Print_Titles" localSheetId="14">'PESO FoFo'!$1:$7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40" i="83" l="1"/>
  <c r="AI38" i="83"/>
  <c r="S38" i="83"/>
  <c r="R38" i="83"/>
  <c r="Q38" i="83"/>
  <c r="P38" i="83"/>
  <c r="L38" i="83"/>
  <c r="H38" i="83"/>
  <c r="J38" i="83" s="1"/>
  <c r="D38" i="83"/>
  <c r="C38" i="83"/>
  <c r="AI37" i="83"/>
  <c r="AB37" i="83"/>
  <c r="S37" i="83"/>
  <c r="R37" i="83"/>
  <c r="Q37" i="83"/>
  <c r="P37" i="83"/>
  <c r="L37" i="83"/>
  <c r="H37" i="83"/>
  <c r="J37" i="83" s="1"/>
  <c r="D37" i="83"/>
  <c r="C37" i="83"/>
  <c r="AL36" i="83"/>
  <c r="AK36" i="83"/>
  <c r="AI36" i="83"/>
  <c r="AB36" i="83"/>
  <c r="S36" i="83"/>
  <c r="R36" i="83"/>
  <c r="Q36" i="83"/>
  <c r="P36" i="83"/>
  <c r="O36" i="83"/>
  <c r="L36" i="83"/>
  <c r="J36" i="83"/>
  <c r="H36" i="83"/>
  <c r="D36" i="83"/>
  <c r="C36" i="83"/>
  <c r="AK35" i="83"/>
  <c r="AI35" i="83"/>
  <c r="AC35" i="83"/>
  <c r="AA35" i="83"/>
  <c r="W35" i="83"/>
  <c r="S35" i="83"/>
  <c r="R35" i="83"/>
  <c r="Q35" i="83"/>
  <c r="P35" i="83"/>
  <c r="L35" i="83"/>
  <c r="H35" i="83"/>
  <c r="J35" i="83" s="1"/>
  <c r="AG35" i="83" s="1"/>
  <c r="D35" i="83"/>
  <c r="C35" i="83"/>
  <c r="AI34" i="83"/>
  <c r="S34" i="83"/>
  <c r="R34" i="83"/>
  <c r="Q34" i="83"/>
  <c r="P34" i="83"/>
  <c r="L34" i="83"/>
  <c r="H34" i="83"/>
  <c r="J34" i="83" s="1"/>
  <c r="D34" i="83"/>
  <c r="C34" i="83"/>
  <c r="AI33" i="83"/>
  <c r="S33" i="83"/>
  <c r="R33" i="83"/>
  <c r="Q33" i="83"/>
  <c r="P33" i="83"/>
  <c r="L33" i="83"/>
  <c r="J33" i="83"/>
  <c r="AF33" i="83" s="1"/>
  <c r="H33" i="83"/>
  <c r="D33" i="83"/>
  <c r="C33" i="83"/>
  <c r="AI32" i="83"/>
  <c r="S32" i="83"/>
  <c r="R32" i="83"/>
  <c r="Q32" i="83"/>
  <c r="P32" i="83"/>
  <c r="L32" i="83"/>
  <c r="H32" i="83"/>
  <c r="J32" i="83" s="1"/>
  <c r="AC32" i="83" s="1"/>
  <c r="D32" i="83"/>
  <c r="C32" i="83"/>
  <c r="AK31" i="83"/>
  <c r="AI31" i="83"/>
  <c r="AG31" i="83"/>
  <c r="AB31" i="83"/>
  <c r="AA31" i="83"/>
  <c r="W31" i="83"/>
  <c r="S31" i="83"/>
  <c r="R31" i="83"/>
  <c r="Q31" i="83"/>
  <c r="P31" i="83"/>
  <c r="L31" i="83"/>
  <c r="H31" i="83"/>
  <c r="J31" i="83" s="1"/>
  <c r="D31" i="83"/>
  <c r="C31" i="83"/>
  <c r="AI30" i="83"/>
  <c r="AC30" i="83"/>
  <c r="AA30" i="83"/>
  <c r="S30" i="83"/>
  <c r="R30" i="83"/>
  <c r="Q30" i="83"/>
  <c r="P30" i="83"/>
  <c r="O30" i="83"/>
  <c r="L30" i="83"/>
  <c r="J30" i="83"/>
  <c r="AL30" i="83" s="1"/>
  <c r="H30" i="83"/>
  <c r="D30" i="83"/>
  <c r="C30" i="83"/>
  <c r="AI29" i="83"/>
  <c r="S29" i="83"/>
  <c r="R29" i="83"/>
  <c r="Q29" i="83"/>
  <c r="P29" i="83"/>
  <c r="O29" i="83"/>
  <c r="L29" i="83"/>
  <c r="H29" i="83"/>
  <c r="J29" i="83" s="1"/>
  <c r="D29" i="83"/>
  <c r="C29" i="83"/>
  <c r="AI28" i="83"/>
  <c r="S28" i="83"/>
  <c r="R28" i="83"/>
  <c r="Q28" i="83"/>
  <c r="P28" i="83"/>
  <c r="O28" i="83"/>
  <c r="L28" i="83"/>
  <c r="H28" i="83"/>
  <c r="J28" i="83" s="1"/>
  <c r="D28" i="83"/>
  <c r="C28" i="83"/>
  <c r="AI27" i="83"/>
  <c r="X27" i="83"/>
  <c r="W27" i="83"/>
  <c r="S27" i="83"/>
  <c r="R27" i="83"/>
  <c r="Q27" i="83"/>
  <c r="P27" i="83"/>
  <c r="O27" i="83"/>
  <c r="L27" i="83"/>
  <c r="J27" i="83"/>
  <c r="AL27" i="83" s="1"/>
  <c r="H27" i="83"/>
  <c r="D27" i="83"/>
  <c r="C27" i="83"/>
  <c r="AI26" i="83"/>
  <c r="AG26" i="83"/>
  <c r="X26" i="83"/>
  <c r="W26" i="83"/>
  <c r="S26" i="83"/>
  <c r="R26" i="83"/>
  <c r="Q26" i="83"/>
  <c r="P26" i="83"/>
  <c r="O26" i="83"/>
  <c r="L26" i="83"/>
  <c r="H26" i="83"/>
  <c r="J26" i="83" s="1"/>
  <c r="D26" i="83"/>
  <c r="C26" i="83"/>
  <c r="AL25" i="83"/>
  <c r="AI25" i="83"/>
  <c r="AG25" i="83"/>
  <c r="AF25" i="83"/>
  <c r="AC25" i="83"/>
  <c r="X25" i="83"/>
  <c r="W25" i="83"/>
  <c r="V25" i="83"/>
  <c r="AD25" i="83" s="1"/>
  <c r="T25" i="83"/>
  <c r="U25" i="83" s="1"/>
  <c r="Z25" i="83" s="1"/>
  <c r="S25" i="83"/>
  <c r="R25" i="83"/>
  <c r="Q25" i="83"/>
  <c r="P25" i="83"/>
  <c r="O25" i="83"/>
  <c r="L25" i="83"/>
  <c r="H25" i="83"/>
  <c r="J25" i="83" s="1"/>
  <c r="D25" i="83"/>
  <c r="C25" i="83"/>
  <c r="AI24" i="83"/>
  <c r="S24" i="83"/>
  <c r="R24" i="83"/>
  <c r="Q24" i="83"/>
  <c r="P24" i="83"/>
  <c r="O24" i="83"/>
  <c r="L24" i="83"/>
  <c r="J24" i="83"/>
  <c r="H24" i="83"/>
  <c r="D24" i="83"/>
  <c r="C24" i="83"/>
  <c r="AJ23" i="83"/>
  <c r="AI23" i="83"/>
  <c r="AB23" i="83"/>
  <c r="T23" i="83"/>
  <c r="S23" i="83"/>
  <c r="R23" i="83"/>
  <c r="Q23" i="83"/>
  <c r="P23" i="83"/>
  <c r="O23" i="83"/>
  <c r="L23" i="83"/>
  <c r="H23" i="83"/>
  <c r="J23" i="83" s="1"/>
  <c r="D23" i="83"/>
  <c r="C23" i="83"/>
  <c r="AI22" i="83"/>
  <c r="S22" i="83"/>
  <c r="R22" i="83"/>
  <c r="Q22" i="83"/>
  <c r="P22" i="83"/>
  <c r="O22" i="83"/>
  <c r="L22" i="83"/>
  <c r="H22" i="83"/>
  <c r="J22" i="83" s="1"/>
  <c r="D22" i="83"/>
  <c r="C22" i="83"/>
  <c r="AI21" i="83"/>
  <c r="S21" i="83"/>
  <c r="R21" i="83"/>
  <c r="Q21" i="83"/>
  <c r="P21" i="83"/>
  <c r="O21" i="83"/>
  <c r="L21" i="83"/>
  <c r="H21" i="83"/>
  <c r="J21" i="83" s="1"/>
  <c r="D21" i="83"/>
  <c r="C21" i="83"/>
  <c r="AI20" i="83"/>
  <c r="AA20" i="83"/>
  <c r="X20" i="83"/>
  <c r="W20" i="83"/>
  <c r="S20" i="83"/>
  <c r="R20" i="83"/>
  <c r="Q20" i="83"/>
  <c r="P20" i="83"/>
  <c r="O20" i="83"/>
  <c r="L20" i="83"/>
  <c r="J20" i="83"/>
  <c r="H20" i="83"/>
  <c r="D20" i="83"/>
  <c r="C20" i="83"/>
  <c r="AL19" i="83"/>
  <c r="AI19" i="83"/>
  <c r="AG19" i="83"/>
  <c r="AF19" i="83"/>
  <c r="AC19" i="83"/>
  <c r="X19" i="83"/>
  <c r="W19" i="83"/>
  <c r="S19" i="83"/>
  <c r="R19" i="83"/>
  <c r="Q19" i="83"/>
  <c r="P19" i="83"/>
  <c r="O19" i="83"/>
  <c r="L19" i="83"/>
  <c r="H19" i="83"/>
  <c r="J19" i="83" s="1"/>
  <c r="D19" i="83"/>
  <c r="C19" i="83"/>
  <c r="AK18" i="83"/>
  <c r="AI18" i="83"/>
  <c r="AC18" i="83"/>
  <c r="AA18" i="83"/>
  <c r="S18" i="83"/>
  <c r="R18" i="83"/>
  <c r="Q18" i="83"/>
  <c r="P18" i="83"/>
  <c r="O18" i="83"/>
  <c r="L18" i="83"/>
  <c r="J18" i="83"/>
  <c r="H18" i="83"/>
  <c r="D18" i="83"/>
  <c r="C18" i="83"/>
  <c r="AI17" i="83"/>
  <c r="S17" i="83"/>
  <c r="R17" i="83"/>
  <c r="Q17" i="83"/>
  <c r="P17" i="83"/>
  <c r="O17" i="83"/>
  <c r="L17" i="83"/>
  <c r="J17" i="83"/>
  <c r="AB17" i="83" s="1"/>
  <c r="H17" i="83"/>
  <c r="D17" i="83"/>
  <c r="C17" i="83"/>
  <c r="AI16" i="83"/>
  <c r="S16" i="83"/>
  <c r="R16" i="83"/>
  <c r="Q16" i="83"/>
  <c r="P16" i="83"/>
  <c r="O16" i="83"/>
  <c r="L16" i="83"/>
  <c r="J16" i="83"/>
  <c r="H16" i="83"/>
  <c r="D16" i="83"/>
  <c r="C16" i="83"/>
  <c r="AI15" i="83"/>
  <c r="S15" i="83"/>
  <c r="R15" i="83"/>
  <c r="Q15" i="83"/>
  <c r="P15" i="83"/>
  <c r="O15" i="83"/>
  <c r="L15" i="83"/>
  <c r="H15" i="83"/>
  <c r="J15" i="83" s="1"/>
  <c r="D15" i="83"/>
  <c r="C15" i="83"/>
  <c r="AI14" i="83"/>
  <c r="AA14" i="83"/>
  <c r="S14" i="83"/>
  <c r="R14" i="83"/>
  <c r="Q14" i="83"/>
  <c r="P14" i="83"/>
  <c r="O14" i="83"/>
  <c r="L14" i="83"/>
  <c r="H14" i="83"/>
  <c r="J14" i="83" s="1"/>
  <c r="D14" i="83"/>
  <c r="C14" i="83"/>
  <c r="AI13" i="83"/>
  <c r="AG13" i="83"/>
  <c r="AA13" i="83"/>
  <c r="S13" i="83"/>
  <c r="R13" i="83"/>
  <c r="Q13" i="83"/>
  <c r="P13" i="83"/>
  <c r="O13" i="83"/>
  <c r="L13" i="83"/>
  <c r="J13" i="83"/>
  <c r="H13" i="83"/>
  <c r="D13" i="83"/>
  <c r="C13" i="83"/>
  <c r="AI12" i="83"/>
  <c r="AC12" i="83"/>
  <c r="W12" i="83"/>
  <c r="S12" i="83"/>
  <c r="R12" i="83"/>
  <c r="Q12" i="83"/>
  <c r="P12" i="83"/>
  <c r="O12" i="83"/>
  <c r="L12" i="83"/>
  <c r="H12" i="83"/>
  <c r="J12" i="83" s="1"/>
  <c r="D12" i="83"/>
  <c r="C12" i="83"/>
  <c r="AI11" i="83"/>
  <c r="S11" i="83"/>
  <c r="R11" i="83"/>
  <c r="Q11" i="83"/>
  <c r="P11" i="83"/>
  <c r="O11" i="83"/>
  <c r="L11" i="83"/>
  <c r="H11" i="83"/>
  <c r="J11" i="83" s="1"/>
  <c r="D11" i="83"/>
  <c r="C11" i="83"/>
  <c r="AI10" i="83"/>
  <c r="AG10" i="83"/>
  <c r="AF10" i="83"/>
  <c r="X10" i="83"/>
  <c r="T10" i="83"/>
  <c r="AJ10" i="83" s="1"/>
  <c r="S10" i="83"/>
  <c r="R10" i="83"/>
  <c r="Q10" i="83"/>
  <c r="P10" i="83"/>
  <c r="L10" i="83"/>
  <c r="J10" i="83"/>
  <c r="H10" i="83"/>
  <c r="D10" i="83"/>
  <c r="C10" i="83"/>
  <c r="AI9" i="83"/>
  <c r="S9" i="83"/>
  <c r="R9" i="83"/>
  <c r="Q9" i="83"/>
  <c r="P9" i="83"/>
  <c r="O9" i="83"/>
  <c r="L9" i="83"/>
  <c r="H9" i="83"/>
  <c r="J9" i="83" s="1"/>
  <c r="AB9" i="83" s="1"/>
  <c r="D9" i="83"/>
  <c r="C9" i="83"/>
  <c r="AK8" i="83"/>
  <c r="AI8" i="83"/>
  <c r="S8" i="83"/>
  <c r="R8" i="83"/>
  <c r="Q8" i="83"/>
  <c r="P8" i="83"/>
  <c r="L8" i="83"/>
  <c r="H8" i="83"/>
  <c r="J8" i="83" s="1"/>
  <c r="D8" i="83"/>
  <c r="C8" i="83"/>
  <c r="AK7" i="83"/>
  <c r="AI7" i="83"/>
  <c r="AG7" i="83"/>
  <c r="AA7" i="83"/>
  <c r="X7" i="83"/>
  <c r="W7" i="83"/>
  <c r="S7" i="83"/>
  <c r="R7" i="83"/>
  <c r="Q7" i="83"/>
  <c r="P7" i="83"/>
  <c r="L7" i="83"/>
  <c r="H7" i="83"/>
  <c r="J7" i="83" s="1"/>
  <c r="D7" i="83"/>
  <c r="C7" i="83"/>
  <c r="AI6" i="83"/>
  <c r="S6" i="83"/>
  <c r="R6" i="83"/>
  <c r="Q6" i="83"/>
  <c r="P6" i="83"/>
  <c r="L6" i="83"/>
  <c r="H6" i="83"/>
  <c r="J6" i="83" s="1"/>
  <c r="D6" i="83"/>
  <c r="C6" i="83"/>
  <c r="AL5" i="83"/>
  <c r="AI5" i="83"/>
  <c r="AG5" i="83"/>
  <c r="AF5" i="83"/>
  <c r="AE5" i="83"/>
  <c r="Z5" i="83"/>
  <c r="Y5" i="83"/>
  <c r="S5" i="83"/>
  <c r="S40" i="83" s="1"/>
  <c r="R5" i="83"/>
  <c r="R40" i="83" s="1"/>
  <c r="Q5" i="83"/>
  <c r="P5" i="83"/>
  <c r="L5" i="83"/>
  <c r="J5" i="83"/>
  <c r="AG15" i="83" l="1"/>
  <c r="AA15" i="83"/>
  <c r="AK15" i="83"/>
  <c r="W15" i="83"/>
  <c r="AC15" i="83"/>
  <c r="T15" i="83"/>
  <c r="AF15" i="83"/>
  <c r="X15" i="83"/>
  <c r="AL15" i="83"/>
  <c r="AB15" i="83"/>
  <c r="X6" i="83"/>
  <c r="AB6" i="83"/>
  <c r="AA6" i="83"/>
  <c r="T6" i="83"/>
  <c r="AG6" i="83"/>
  <c r="W6" i="83"/>
  <c r="W11" i="83"/>
  <c r="T17" i="83"/>
  <c r="AB22" i="83"/>
  <c r="AC22" i="83"/>
  <c r="AL22" i="83"/>
  <c r="T22" i="83"/>
  <c r="AA22" i="83"/>
  <c r="AG22" i="83"/>
  <c r="AF22" i="83"/>
  <c r="X22" i="83"/>
  <c r="W22" i="83"/>
  <c r="AK22" i="83"/>
  <c r="AC29" i="83"/>
  <c r="W29" i="83"/>
  <c r="AA29" i="83"/>
  <c r="T29" i="83"/>
  <c r="AK29" i="83"/>
  <c r="AB29" i="83"/>
  <c r="AG29" i="83"/>
  <c r="AF29" i="83"/>
  <c r="X29" i="83"/>
  <c r="AL29" i="83"/>
  <c r="AC6" i="83"/>
  <c r="O40" i="83"/>
  <c r="X11" i="83"/>
  <c r="AB13" i="83"/>
  <c r="AK13" i="83"/>
  <c r="W13" i="83"/>
  <c r="AC13" i="83"/>
  <c r="AF13" i="83"/>
  <c r="AL13" i="83"/>
  <c r="X13" i="83"/>
  <c r="AB16" i="83"/>
  <c r="AA16" i="83"/>
  <c r="T16" i="83"/>
  <c r="W16" i="83"/>
  <c r="AG16" i="83"/>
  <c r="AF16" i="83"/>
  <c r="X16" i="83"/>
  <c r="AL16" i="83"/>
  <c r="AK16" i="83"/>
  <c r="AA17" i="83"/>
  <c r="AF21" i="83"/>
  <c r="V23" i="83"/>
  <c r="AE23" i="83" s="1"/>
  <c r="U23" i="83"/>
  <c r="Y23" i="83" s="1"/>
  <c r="AB8" i="83"/>
  <c r="AG8" i="83"/>
  <c r="AG40" i="83" s="1"/>
  <c r="AF8" i="83"/>
  <c r="AC8" i="83"/>
  <c r="AA8" i="83"/>
  <c r="T8" i="83"/>
  <c r="W8" i="83"/>
  <c r="AL8" i="83"/>
  <c r="AA9" i="83"/>
  <c r="AG12" i="83"/>
  <c r="AA12" i="83"/>
  <c r="AL12" i="83"/>
  <c r="AB12" i="83"/>
  <c r="T12" i="83"/>
  <c r="AF12" i="83"/>
  <c r="X12" i="83"/>
  <c r="T13" i="83"/>
  <c r="X18" i="83"/>
  <c r="AB18" i="83"/>
  <c r="W18" i="83"/>
  <c r="AL18" i="83"/>
  <c r="AG18" i="83"/>
  <c r="AF18" i="83"/>
  <c r="AB28" i="83"/>
  <c r="AK28" i="83"/>
  <c r="W28" i="83"/>
  <c r="AA28" i="83"/>
  <c r="AG28" i="83"/>
  <c r="AF28" i="83"/>
  <c r="X28" i="83"/>
  <c r="AL28" i="83"/>
  <c r="AC28" i="83"/>
  <c r="T28" i="83"/>
  <c r="Q40" i="83"/>
  <c r="AF6" i="83"/>
  <c r="AF40" i="83" s="1"/>
  <c r="X8" i="83"/>
  <c r="AK12" i="83"/>
  <c r="AL14" i="83"/>
  <c r="AF14" i="83"/>
  <c r="T14" i="83"/>
  <c r="X14" i="83"/>
  <c r="AC14" i="83"/>
  <c r="AB14" i="83"/>
  <c r="AG14" i="83"/>
  <c r="W14" i="83"/>
  <c r="AK14" i="83"/>
  <c r="AC16" i="83"/>
  <c r="T18" i="83"/>
  <c r="AG21" i="83"/>
  <c r="AA21" i="83"/>
  <c r="AL21" i="83"/>
  <c r="X21" i="83"/>
  <c r="AB21" i="83"/>
  <c r="AK21" i="83"/>
  <c r="AC21" i="83"/>
  <c r="T21" i="83"/>
  <c r="AK6" i="83"/>
  <c r="AC9" i="83"/>
  <c r="W9" i="83"/>
  <c r="AK9" i="83"/>
  <c r="AG9" i="83"/>
  <c r="AL9" i="83"/>
  <c r="AF9" i="83"/>
  <c r="X9" i="83"/>
  <c r="AL11" i="83"/>
  <c r="AF11" i="83"/>
  <c r="T11" i="83"/>
  <c r="AA11" i="83"/>
  <c r="AG11" i="83"/>
  <c r="AC11" i="83"/>
  <c r="AB11" i="83"/>
  <c r="AK11" i="83"/>
  <c r="AC17" i="83"/>
  <c r="W17" i="83"/>
  <c r="AL17" i="83"/>
  <c r="AF17" i="83"/>
  <c r="AG17" i="83"/>
  <c r="X17" i="83"/>
  <c r="AK17" i="83"/>
  <c r="W21" i="83"/>
  <c r="AL6" i="83"/>
  <c r="AL40" i="83" s="1"/>
  <c r="T9" i="83"/>
  <c r="AK10" i="83"/>
  <c r="AE10" i="83"/>
  <c r="AA10" i="83"/>
  <c r="AB24" i="83"/>
  <c r="AI40" i="83"/>
  <c r="U10" i="83"/>
  <c r="Z10" i="83" s="1"/>
  <c r="L40" i="83"/>
  <c r="G42" i="83" s="1"/>
  <c r="AL7" i="83"/>
  <c r="AF7" i="83"/>
  <c r="T7" i="83"/>
  <c r="AB7" i="83"/>
  <c r="V10" i="83"/>
  <c r="AC10" i="83"/>
  <c r="AL20" i="83"/>
  <c r="AF20" i="83"/>
  <c r="T20" i="83"/>
  <c r="AG20" i="83"/>
  <c r="AB20" i="83"/>
  <c r="X23" i="83"/>
  <c r="AF23" i="83"/>
  <c r="W24" i="83"/>
  <c r="AF24" i="83"/>
  <c r="AH25" i="83"/>
  <c r="AL26" i="83"/>
  <c r="AF26" i="83"/>
  <c r="T26" i="83"/>
  <c r="AA26" i="83"/>
  <c r="AB26" i="83"/>
  <c r="T27" i="83"/>
  <c r="AC27" i="83"/>
  <c r="AK27" i="83"/>
  <c r="W30" i="83"/>
  <c r="AK30" i="83"/>
  <c r="AC34" i="83"/>
  <c r="AC36" i="83"/>
  <c r="W36" i="83"/>
  <c r="AG36" i="83"/>
  <c r="AA36" i="83"/>
  <c r="AF36" i="83"/>
  <c r="X36" i="83"/>
  <c r="AD5" i="83"/>
  <c r="AK5" i="83"/>
  <c r="AK40" i="83" s="1"/>
  <c r="AC7" i="83"/>
  <c r="W10" i="83"/>
  <c r="AD10" i="83"/>
  <c r="AL10" i="83"/>
  <c r="AK19" i="83"/>
  <c r="AA19" i="83"/>
  <c r="T19" i="83"/>
  <c r="AB19" i="83"/>
  <c r="AC20" i="83"/>
  <c r="AK20" i="83"/>
  <c r="AG24" i="83"/>
  <c r="AK25" i="83"/>
  <c r="AE25" i="83"/>
  <c r="Y25" i="83"/>
  <c r="AB25" i="83"/>
  <c r="AA25" i="83"/>
  <c r="AC26" i="83"/>
  <c r="AK26" i="83"/>
  <c r="AC33" i="83"/>
  <c r="T36" i="83"/>
  <c r="AG37" i="83"/>
  <c r="AA37" i="83"/>
  <c r="AL37" i="83"/>
  <c r="AF37" i="83"/>
  <c r="T37" i="83"/>
  <c r="AK37" i="83"/>
  <c r="AC37" i="83"/>
  <c r="W37" i="83"/>
  <c r="X37" i="83"/>
  <c r="AC23" i="83"/>
  <c r="W23" i="83"/>
  <c r="AG23" i="83"/>
  <c r="AA23" i="83"/>
  <c r="AJ25" i="83"/>
  <c r="AL34" i="83"/>
  <c r="AF34" i="83"/>
  <c r="T34" i="83"/>
  <c r="X34" i="83"/>
  <c r="AG34" i="83"/>
  <c r="W34" i="83"/>
  <c r="AA34" i="83"/>
  <c r="AC38" i="83"/>
  <c r="W38" i="83"/>
  <c r="AB38" i="83"/>
  <c r="AG38" i="83"/>
  <c r="AA38" i="83"/>
  <c r="AL38" i="83"/>
  <c r="AF38" i="83"/>
  <c r="T38" i="83"/>
  <c r="AK38" i="83"/>
  <c r="X38" i="83"/>
  <c r="X24" i="83"/>
  <c r="AK24" i="83"/>
  <c r="AC24" i="83"/>
  <c r="AA24" i="83"/>
  <c r="X33" i="83"/>
  <c r="AB33" i="83"/>
  <c r="AK33" i="83"/>
  <c r="AA33" i="83"/>
  <c r="T33" i="83"/>
  <c r="AG33" i="83"/>
  <c r="AH10" i="83"/>
  <c r="AD23" i="83"/>
  <c r="AL24" i="83"/>
  <c r="W33" i="83"/>
  <c r="AK34" i="83"/>
  <c r="AK23" i="83"/>
  <c r="T24" i="83"/>
  <c r="X30" i="83"/>
  <c r="AB30" i="83"/>
  <c r="AG30" i="83"/>
  <c r="AF30" i="83"/>
  <c r="AB32" i="83"/>
  <c r="AL32" i="83"/>
  <c r="AF32" i="83"/>
  <c r="T32" i="83"/>
  <c r="AG32" i="83"/>
  <c r="X32" i="83"/>
  <c r="AA32" i="83"/>
  <c r="T5" i="83"/>
  <c r="AA5" i="83"/>
  <c r="AB10" i="83"/>
  <c r="AL23" i="83"/>
  <c r="AG27" i="83"/>
  <c r="AA27" i="83"/>
  <c r="AF27" i="83"/>
  <c r="AB27" i="83"/>
  <c r="T30" i="83"/>
  <c r="W32" i="83"/>
  <c r="AK32" i="83"/>
  <c r="AL33" i="83"/>
  <c r="AB34" i="83"/>
  <c r="P40" i="83"/>
  <c r="P42" i="83" s="1"/>
  <c r="AL31" i="83"/>
  <c r="AF31" i="83"/>
  <c r="T31" i="83"/>
  <c r="X31" i="83"/>
  <c r="AC31" i="83"/>
  <c r="X35" i="83"/>
  <c r="AB35" i="83"/>
  <c r="AL35" i="83"/>
  <c r="AF35" i="83"/>
  <c r="T35" i="83"/>
  <c r="U27" i="83" l="1"/>
  <c r="AJ27" i="83"/>
  <c r="V27" i="83"/>
  <c r="U17" i="83"/>
  <c r="V17" i="83"/>
  <c r="AJ17" i="83"/>
  <c r="AJ6" i="83"/>
  <c r="U6" i="83"/>
  <c r="V6" i="83"/>
  <c r="AA40" i="83"/>
  <c r="AJ11" i="83"/>
  <c r="V11" i="83"/>
  <c r="U11" i="83"/>
  <c r="V28" i="83"/>
  <c r="AJ28" i="83"/>
  <c r="U28" i="83"/>
  <c r="AJ33" i="83"/>
  <c r="V33" i="83"/>
  <c r="U33" i="83"/>
  <c r="AJ14" i="83"/>
  <c r="V14" i="83"/>
  <c r="U14" i="83"/>
  <c r="U37" i="83"/>
  <c r="AJ37" i="83"/>
  <c r="V37" i="83"/>
  <c r="AJ19" i="83"/>
  <c r="U19" i="83"/>
  <c r="V19" i="83"/>
  <c r="V9" i="83"/>
  <c r="AJ9" i="83"/>
  <c r="U9" i="83"/>
  <c r="AH23" i="83"/>
  <c r="AJ30" i="83"/>
  <c r="V30" i="83"/>
  <c r="U30" i="83"/>
  <c r="V35" i="83"/>
  <c r="U35" i="83"/>
  <c r="AJ35" i="83"/>
  <c r="V32" i="83"/>
  <c r="AJ32" i="83"/>
  <c r="U32" i="83"/>
  <c r="T40" i="83"/>
  <c r="V5" i="83"/>
  <c r="AJ5" i="83"/>
  <c r="U5" i="83"/>
  <c r="AJ24" i="83"/>
  <c r="V24" i="83"/>
  <c r="U24" i="83"/>
  <c r="AJ34" i="83"/>
  <c r="V34" i="83"/>
  <c r="U34" i="83"/>
  <c r="AJ36" i="83"/>
  <c r="U36" i="83"/>
  <c r="V36" i="83"/>
  <c r="U15" i="83"/>
  <c r="V15" i="83"/>
  <c r="AJ15" i="83"/>
  <c r="AJ31" i="83"/>
  <c r="U31" i="83"/>
  <c r="V31" i="83"/>
  <c r="Z23" i="83"/>
  <c r="V26" i="83"/>
  <c r="U26" i="83"/>
  <c r="AJ26" i="83"/>
  <c r="U20" i="83"/>
  <c r="AJ20" i="83"/>
  <c r="V20" i="83"/>
  <c r="AJ18" i="83"/>
  <c r="U18" i="83"/>
  <c r="V18" i="83"/>
  <c r="V16" i="83"/>
  <c r="U16" i="83"/>
  <c r="AJ16" i="83"/>
  <c r="U29" i="83"/>
  <c r="AJ29" i="83"/>
  <c r="V29" i="83"/>
  <c r="AJ38" i="83"/>
  <c r="V38" i="83"/>
  <c r="U38" i="83"/>
  <c r="AJ7" i="83"/>
  <c r="V7" i="83"/>
  <c r="U7" i="83"/>
  <c r="Y10" i="83"/>
  <c r="U21" i="83"/>
  <c r="AJ21" i="83"/>
  <c r="V21" i="83"/>
  <c r="V13" i="83"/>
  <c r="AJ13" i="83"/>
  <c r="U13" i="83"/>
  <c r="U12" i="83"/>
  <c r="V12" i="83"/>
  <c r="AJ12" i="83"/>
  <c r="V8" i="83"/>
  <c r="AJ8" i="83"/>
  <c r="U8" i="83"/>
  <c r="V22" i="83"/>
  <c r="AJ22" i="83"/>
  <c r="U22" i="83"/>
  <c r="AD29" i="83" l="1"/>
  <c r="AH29" i="83"/>
  <c r="AE29" i="83"/>
  <c r="AH18" i="83"/>
  <c r="AD18" i="83"/>
  <c r="AE18" i="83"/>
  <c r="AD19" i="83"/>
  <c r="AH19" i="83"/>
  <c r="AE19" i="83"/>
  <c r="Z28" i="83"/>
  <c r="Y28" i="83"/>
  <c r="AD17" i="83"/>
  <c r="AH17" i="83"/>
  <c r="AE17" i="83"/>
  <c r="AE13" i="83"/>
  <c r="AD13" i="83"/>
  <c r="AH13" i="83"/>
  <c r="Y26" i="83"/>
  <c r="Z26" i="83"/>
  <c r="U40" i="83"/>
  <c r="X5" i="83"/>
  <c r="X40" i="83" s="1"/>
  <c r="W5" i="83"/>
  <c r="W40" i="83" s="1"/>
  <c r="AH14" i="83"/>
  <c r="AE14" i="83"/>
  <c r="AD14" i="83"/>
  <c r="Z17" i="83"/>
  <c r="Y17" i="83"/>
  <c r="Z22" i="83"/>
  <c r="Y22" i="83"/>
  <c r="AH21" i="83"/>
  <c r="AD21" i="83"/>
  <c r="AE21" i="83"/>
  <c r="AE26" i="83"/>
  <c r="AD26" i="83"/>
  <c r="AH26" i="83"/>
  <c r="Z8" i="83"/>
  <c r="Y8" i="83"/>
  <c r="Y13" i="83"/>
  <c r="Z13" i="83"/>
  <c r="AD16" i="83"/>
  <c r="AE16" i="83"/>
  <c r="AH16" i="83"/>
  <c r="Z20" i="83"/>
  <c r="Y20" i="83"/>
  <c r="Y31" i="83"/>
  <c r="Z31" i="83"/>
  <c r="Y36" i="83"/>
  <c r="Z36" i="83"/>
  <c r="AH24" i="83"/>
  <c r="AD24" i="83"/>
  <c r="AE24" i="83"/>
  <c r="Y32" i="83"/>
  <c r="Z32" i="83"/>
  <c r="Z30" i="83"/>
  <c r="Y30" i="83"/>
  <c r="AH9" i="83"/>
  <c r="AD9" i="83"/>
  <c r="AE9" i="83"/>
  <c r="Y37" i="83"/>
  <c r="Z37" i="83"/>
  <c r="Y7" i="83"/>
  <c r="Z7" i="83"/>
  <c r="AH30" i="83"/>
  <c r="AE30" i="83"/>
  <c r="AD30" i="83"/>
  <c r="Y14" i="83"/>
  <c r="Z14" i="83"/>
  <c r="AD8" i="83"/>
  <c r="AE8" i="83"/>
  <c r="AH8" i="83"/>
  <c r="AH7" i="83"/>
  <c r="AE7" i="83"/>
  <c r="AD7" i="83"/>
  <c r="Z18" i="83"/>
  <c r="Y18" i="83"/>
  <c r="Y34" i="83"/>
  <c r="Z34" i="83"/>
  <c r="AE32" i="83"/>
  <c r="AD32" i="83"/>
  <c r="AH32" i="83"/>
  <c r="Z19" i="83"/>
  <c r="Y19" i="83"/>
  <c r="Y29" i="83"/>
  <c r="Z29" i="83"/>
  <c r="AE15" i="83"/>
  <c r="AH15" i="83"/>
  <c r="AD15" i="83"/>
  <c r="AD34" i="83"/>
  <c r="AH34" i="83"/>
  <c r="AE34" i="83"/>
  <c r="AJ40" i="83"/>
  <c r="AE28" i="83"/>
  <c r="AH28" i="83"/>
  <c r="AD28" i="83"/>
  <c r="AH6" i="83"/>
  <c r="AD6" i="83"/>
  <c r="AE6" i="83"/>
  <c r="AH27" i="83"/>
  <c r="AE27" i="83"/>
  <c r="AD27" i="83"/>
  <c r="AD12" i="83"/>
  <c r="AH12" i="83"/>
  <c r="AE12" i="83"/>
  <c r="Y38" i="83"/>
  <c r="Z38" i="83"/>
  <c r="AH20" i="83"/>
  <c r="AD20" i="83"/>
  <c r="AE20" i="83"/>
  <c r="Z15" i="83"/>
  <c r="Y15" i="83"/>
  <c r="V40" i="83"/>
  <c r="AC5" i="83"/>
  <c r="AC40" i="83" s="1"/>
  <c r="AH5" i="83"/>
  <c r="AB5" i="83"/>
  <c r="AB40" i="83" s="1"/>
  <c r="Y35" i="83"/>
  <c r="Z35" i="83"/>
  <c r="Z9" i="83"/>
  <c r="Y9" i="83"/>
  <c r="AH37" i="83"/>
  <c r="AD37" i="83"/>
  <c r="AE37" i="83"/>
  <c r="Y33" i="83"/>
  <c r="Z33" i="83"/>
  <c r="Y11" i="83"/>
  <c r="Z11" i="83"/>
  <c r="Z6" i="83"/>
  <c r="Y6" i="83"/>
  <c r="AH22" i="83"/>
  <c r="AD22" i="83"/>
  <c r="AE22" i="83"/>
  <c r="Z12" i="83"/>
  <c r="Y12" i="83"/>
  <c r="Y21" i="83"/>
  <c r="Z21" i="83"/>
  <c r="AD38" i="83"/>
  <c r="AE38" i="83"/>
  <c r="AH38" i="83"/>
  <c r="Y16" i="83"/>
  <c r="Z16" i="83"/>
  <c r="AH31" i="83"/>
  <c r="AE31" i="83"/>
  <c r="AD31" i="83"/>
  <c r="AE36" i="83"/>
  <c r="AD36" i="83"/>
  <c r="AH36" i="83"/>
  <c r="Y24" i="83"/>
  <c r="Z24" i="83"/>
  <c r="AE35" i="83"/>
  <c r="AH35" i="83"/>
  <c r="AD35" i="83"/>
  <c r="AH33" i="83"/>
  <c r="AD33" i="83"/>
  <c r="AE33" i="83"/>
  <c r="AD11" i="83"/>
  <c r="AE11" i="83"/>
  <c r="AH11" i="83"/>
  <c r="Z27" i="83"/>
  <c r="Y27" i="83"/>
  <c r="AH40" i="83" l="1"/>
  <c r="W46" i="83" s="1"/>
  <c r="W52" i="83" s="1"/>
  <c r="Z40" i="83"/>
  <c r="AD40" i="83"/>
  <c r="W54" i="83"/>
  <c r="W44" i="83"/>
  <c r="Y40" i="83"/>
  <c r="AE40" i="83"/>
  <c r="W50" i="83" l="1"/>
  <c r="W48" i="83"/>
  <c r="D39" i="26" l="1"/>
  <c r="D87" i="25"/>
  <c r="D72" i="25"/>
  <c r="D171" i="25"/>
  <c r="D29" i="13"/>
  <c r="D42" i="13"/>
  <c r="D60" i="13"/>
  <c r="D70" i="13"/>
  <c r="D64" i="13"/>
  <c r="D156" i="13"/>
  <c r="D42" i="24" l="1"/>
  <c r="D53" i="13" l="1"/>
  <c r="D31" i="25" l="1"/>
  <c r="D78" i="25"/>
  <c r="D79" i="25"/>
  <c r="D80" i="25"/>
  <c r="D81" i="25"/>
  <c r="D82" i="25"/>
  <c r="D77" i="25"/>
  <c r="D74" i="25"/>
  <c r="D71" i="25"/>
  <c r="D76" i="25"/>
  <c r="D76" i="20"/>
  <c r="D75" i="20"/>
  <c r="D74" i="20"/>
  <c r="D45" i="21"/>
  <c r="D71" i="20"/>
  <c r="D82" i="20"/>
  <c r="D73" i="20"/>
  <c r="D67" i="20"/>
  <c r="D72" i="20"/>
  <c r="D107" i="20"/>
  <c r="D50" i="20"/>
  <c r="D52" i="20"/>
  <c r="D40" i="20"/>
  <c r="D55" i="20"/>
  <c r="D40" i="26"/>
  <c r="D185" i="20" l="1"/>
  <c r="D184" i="20" s="1"/>
  <c r="D48" i="19"/>
  <c r="D47" i="19"/>
  <c r="D46" i="19"/>
  <c r="D40" i="21" l="1"/>
  <c r="D33" i="21"/>
  <c r="D65" i="20"/>
  <c r="D51" i="20"/>
  <c r="D38" i="19"/>
  <c r="D32" i="19"/>
  <c r="D33" i="18"/>
  <c r="D31" i="19"/>
  <c r="D41" i="18"/>
  <c r="D34" i="18"/>
  <c r="D70" i="25"/>
  <c r="D55" i="25"/>
  <c r="D54" i="25"/>
  <c r="H57" i="25"/>
  <c r="D59" i="25"/>
  <c r="D36" i="25" l="1"/>
  <c r="D100" i="25"/>
  <c r="D73" i="25"/>
  <c r="D86" i="25"/>
  <c r="D83" i="25"/>
  <c r="D75" i="25"/>
  <c r="D88" i="25"/>
  <c r="D37" i="25"/>
  <c r="D60" i="25"/>
  <c r="D101" i="25"/>
  <c r="D170" i="25"/>
  <c r="D50" i="21"/>
  <c r="D49" i="21"/>
  <c r="D48" i="21"/>
  <c r="D44" i="21"/>
  <c r="D43" i="21"/>
  <c r="D42" i="21"/>
  <c r="D41" i="21"/>
  <c r="D65" i="21"/>
  <c r="D121" i="21"/>
  <c r="D120" i="21"/>
  <c r="D35" i="21"/>
  <c r="D27" i="21"/>
  <c r="D64" i="21"/>
  <c r="D34" i="21"/>
  <c r="D25" i="21"/>
  <c r="D66" i="21"/>
  <c r="D36" i="21"/>
  <c r="D28" i="21"/>
  <c r="D68" i="20"/>
  <c r="D80" i="20"/>
  <c r="D81" i="20"/>
  <c r="D70" i="20"/>
  <c r="D69" i="20"/>
  <c r="D79" i="20"/>
  <c r="D66" i="20"/>
  <c r="D108" i="20"/>
  <c r="D58" i="20"/>
  <c r="D41" i="20"/>
  <c r="D106" i="20"/>
  <c r="D56" i="20"/>
  <c r="D39" i="20"/>
  <c r="D182" i="20"/>
  <c r="D181" i="20"/>
  <c r="D59" i="20"/>
  <c r="D109" i="20"/>
  <c r="D42" i="20"/>
  <c r="D39" i="19"/>
  <c r="D40" i="19"/>
  <c r="D41" i="19"/>
  <c r="D42" i="19"/>
  <c r="D43" i="19"/>
  <c r="D113" i="19"/>
  <c r="D112" i="19" s="1"/>
  <c r="D62" i="19"/>
  <c r="D26" i="19"/>
  <c r="D33" i="19"/>
  <c r="D63" i="19"/>
  <c r="D65" i="18"/>
  <c r="D34" i="19"/>
  <c r="D27" i="19"/>
  <c r="D115" i="18"/>
  <c r="D114" i="18" s="1"/>
  <c r="D46" i="18"/>
  <c r="D45" i="18"/>
  <c r="D49" i="18"/>
  <c r="D43" i="18"/>
  <c r="D42" i="18"/>
  <c r="D50" i="18"/>
  <c r="D44" i="18"/>
  <c r="D36" i="18"/>
  <c r="D64" i="18"/>
  <c r="D29" i="18"/>
  <c r="D63" i="18"/>
  <c r="D35" i="18"/>
  <c r="D27" i="18"/>
  <c r="D37" i="18"/>
  <c r="D28" i="18"/>
  <c r="D69" i="25" l="1"/>
  <c r="D39" i="21"/>
  <c r="D64" i="20"/>
  <c r="D78" i="20"/>
  <c r="D37" i="19"/>
  <c r="D40" i="18"/>
  <c r="D155" i="13" l="1"/>
  <c r="D73" i="13" l="1"/>
  <c r="D83" i="13"/>
  <c r="D26" i="13"/>
  <c r="D43" i="13"/>
  <c r="D47" i="13"/>
  <c r="D82" i="13"/>
  <c r="D31" i="13"/>
  <c r="D45" i="13"/>
  <c r="D80" i="13"/>
  <c r="D28" i="13"/>
  <c r="D81" i="13"/>
  <c r="D46" i="13"/>
  <c r="D10" i="13"/>
  <c r="D30" i="13"/>
  <c r="D23" i="13"/>
  <c r="D15" i="13"/>
  <c r="D69" i="13"/>
  <c r="D59" i="13"/>
  <c r="D65" i="13"/>
  <c r="D54" i="13"/>
  <c r="D68" i="13"/>
  <c r="D58" i="13"/>
  <c r="D57" i="13"/>
  <c r="D67" i="13"/>
  <c r="D56" i="13"/>
  <c r="D66" i="13"/>
  <c r="D55" i="13"/>
  <c r="D52" i="13"/>
  <c r="D51" i="13" l="1"/>
  <c r="D141" i="13" l="1"/>
  <c r="D140" i="13"/>
  <c r="D63" i="13" l="1"/>
  <c r="D44" i="13" l="1"/>
  <c r="D81" i="21" l="1"/>
  <c r="D116" i="21"/>
  <c r="D110" i="21"/>
  <c r="D32" i="21"/>
  <c r="D117" i="21" l="1"/>
  <c r="D71" i="21"/>
  <c r="D20" i="18"/>
  <c r="D23" i="18"/>
  <c r="D12" i="18"/>
  <c r="D8" i="18"/>
  <c r="D16" i="18"/>
  <c r="D53" i="18"/>
  <c r="D52" i="18" s="1"/>
  <c r="D67" i="18"/>
  <c r="D38" i="18"/>
  <c r="D30" i="18"/>
  <c r="D111" i="21"/>
  <c r="D104" i="21"/>
  <c r="D101" i="21"/>
  <c r="D72" i="21"/>
  <c r="D63" i="21"/>
  <c r="D57" i="21"/>
  <c r="D54" i="21"/>
  <c r="D53" i="21"/>
  <c r="D37" i="21"/>
  <c r="D24" i="21"/>
  <c r="D26" i="21"/>
  <c r="D21" i="21"/>
  <c r="D15" i="21"/>
  <c r="D14" i="21"/>
  <c r="D11" i="21"/>
  <c r="D10" i="21"/>
  <c r="D110" i="19"/>
  <c r="D109" i="19"/>
  <c r="D105" i="19"/>
  <c r="D104" i="19"/>
  <c r="D101" i="19"/>
  <c r="D95" i="19"/>
  <c r="D68" i="19"/>
  <c r="D76" i="19"/>
  <c r="D70" i="19"/>
  <c r="D69" i="19"/>
  <c r="D65" i="19"/>
  <c r="D64" i="19"/>
  <c r="D61" i="19"/>
  <c r="D60" i="19"/>
  <c r="D57" i="19"/>
  <c r="D54" i="19"/>
  <c r="D51" i="19"/>
  <c r="D35" i="19"/>
  <c r="D28" i="19"/>
  <c r="D25" i="19"/>
  <c r="D24" i="19"/>
  <c r="D26" i="18"/>
  <c r="D25" i="18" s="1"/>
  <c r="D21" i="19"/>
  <c r="D18" i="19"/>
  <c r="D15" i="19"/>
  <c r="D14" i="19"/>
  <c r="D10" i="19"/>
  <c r="D11" i="19"/>
  <c r="D7" i="19"/>
  <c r="D112" i="18" l="1"/>
  <c r="D111" i="18"/>
  <c r="D110" i="18"/>
  <c r="D107" i="18"/>
  <c r="D106" i="18"/>
  <c r="D105" i="18"/>
  <c r="D104" i="18"/>
  <c r="D101" i="18"/>
  <c r="D98" i="18"/>
  <c r="D95" i="18"/>
  <c r="D92" i="18" l="1"/>
  <c r="D89" i="18" l="1"/>
  <c r="D83" i="18"/>
  <c r="D82" i="18" s="1"/>
  <c r="D86" i="18"/>
  <c r="D80" i="18"/>
  <c r="D74" i="18"/>
  <c r="D73" i="18"/>
  <c r="D72" i="18"/>
  <c r="D71" i="18"/>
  <c r="D70" i="18"/>
  <c r="D66" i="18"/>
  <c r="D62" i="18"/>
  <c r="D61" i="18" s="1"/>
  <c r="D59" i="18"/>
  <c r="D32" i="18"/>
  <c r="D15" i="18"/>
  <c r="D14" i="18" s="1"/>
  <c r="D11" i="18"/>
  <c r="D10" i="18" s="1"/>
  <c r="D84" i="13"/>
  <c r="D27" i="13"/>
  <c r="D56" i="18"/>
  <c r="D19" i="18"/>
  <c r="D18" i="18" s="1"/>
  <c r="D7" i="18"/>
  <c r="D6" i="18" s="1"/>
  <c r="D124" i="13" l="1"/>
  <c r="D125" i="13"/>
  <c r="D107" i="13"/>
  <c r="D108" i="13"/>
  <c r="D102" i="13"/>
  <c r="D101" i="13"/>
  <c r="D153" i="13" l="1"/>
  <c r="D152" i="13" s="1"/>
  <c r="D150" i="13"/>
  <c r="D149" i="13" s="1"/>
  <c r="D147" i="13"/>
  <c r="D146" i="13" s="1"/>
  <c r="D144" i="13"/>
  <c r="D143" i="13" s="1"/>
  <c r="D104" i="13"/>
  <c r="D103" i="13"/>
  <c r="D100" i="13" s="1"/>
  <c r="D88" i="13"/>
  <c r="D87" i="13"/>
  <c r="D137" i="13" l="1"/>
  <c r="D136" i="13" s="1"/>
  <c r="AK37" i="30" l="1"/>
  <c r="AK39" i="30"/>
  <c r="AA21" i="30"/>
  <c r="AA6" i="30"/>
  <c r="AA7" i="30"/>
  <c r="AA8" i="30"/>
  <c r="AA9" i="30"/>
  <c r="AA10" i="30"/>
  <c r="AA11" i="30"/>
  <c r="AA12" i="30"/>
  <c r="AA13" i="30"/>
  <c r="AA14" i="30"/>
  <c r="AA15" i="30"/>
  <c r="AA16" i="30"/>
  <c r="AA17" i="30"/>
  <c r="AA18" i="30"/>
  <c r="AA19" i="30"/>
  <c r="AA20" i="30"/>
  <c r="AA22" i="30"/>
  <c r="AA23" i="30"/>
  <c r="AA24" i="30"/>
  <c r="AA25" i="30"/>
  <c r="AA26" i="30"/>
  <c r="AA5" i="30"/>
  <c r="Y6" i="30"/>
  <c r="Y7" i="30"/>
  <c r="Y8" i="30"/>
  <c r="Y9" i="30"/>
  <c r="Y10" i="30"/>
  <c r="Y11" i="30"/>
  <c r="Y12" i="30"/>
  <c r="Y13" i="30"/>
  <c r="Y14" i="30"/>
  <c r="Y15" i="30"/>
  <c r="Y16" i="30"/>
  <c r="Y17" i="30"/>
  <c r="Y18" i="30"/>
  <c r="Y19" i="30"/>
  <c r="Y20" i="30"/>
  <c r="Y21" i="30"/>
  <c r="Y22" i="30"/>
  <c r="Y23" i="30"/>
  <c r="Y24" i="30"/>
  <c r="Y25" i="30"/>
  <c r="Y26" i="30"/>
  <c r="Y5" i="30"/>
  <c r="N16" i="30"/>
  <c r="O16" i="30"/>
  <c r="P16" i="30"/>
  <c r="Q16" i="30"/>
  <c r="R16" i="30"/>
  <c r="X16" i="30"/>
  <c r="Z16" i="30"/>
  <c r="AB16" i="30"/>
  <c r="BA16" i="30" s="1"/>
  <c r="BE16" i="30"/>
  <c r="H16" i="30"/>
  <c r="G16" i="30"/>
  <c r="M16" i="30" s="1"/>
  <c r="AX16" i="30" s="1"/>
  <c r="V16" i="30"/>
  <c r="S16" i="30"/>
  <c r="T16" i="30"/>
  <c r="U16" i="30"/>
  <c r="G6" i="30"/>
  <c r="AY16" i="30" l="1"/>
  <c r="AI16" i="30"/>
  <c r="AJ16" i="30" s="1"/>
  <c r="AP16" i="30" s="1"/>
  <c r="AT16" i="30"/>
  <c r="AL16" i="30"/>
  <c r="AU16" i="30"/>
  <c r="AM16" i="30"/>
  <c r="BC16" i="30"/>
  <c r="AN16" i="30"/>
  <c r="BD16" i="30"/>
  <c r="AR16" i="30"/>
  <c r="AS16" i="30"/>
  <c r="AO16" i="30" l="1"/>
  <c r="AQ16" i="30"/>
  <c r="BB16" i="30"/>
  <c r="AK16" i="30"/>
  <c r="AW16" i="30" l="1"/>
  <c r="AV16" i="30"/>
  <c r="AZ16" i="30"/>
  <c r="N6" i="32" l="1"/>
  <c r="N5" i="32"/>
  <c r="N9" i="32" s="1"/>
  <c r="N7" i="32"/>
  <c r="M6" i="32"/>
  <c r="M7" i="32"/>
  <c r="M5" i="32"/>
  <c r="J5" i="32"/>
  <c r="AN5" i="32" s="1"/>
  <c r="J7" i="32"/>
  <c r="Q9" i="32"/>
  <c r="G9" i="32"/>
  <c r="AK7" i="32"/>
  <c r="U7" i="32"/>
  <c r="T7" i="32"/>
  <c r="S7" i="32"/>
  <c r="R7" i="32"/>
  <c r="AK6" i="32"/>
  <c r="U6" i="32"/>
  <c r="T6" i="32"/>
  <c r="S6" i="32"/>
  <c r="R6" i="32"/>
  <c r="J6" i="32"/>
  <c r="AK5" i="32"/>
  <c r="U5" i="32"/>
  <c r="T5" i="32"/>
  <c r="S5" i="32"/>
  <c r="R5" i="32"/>
  <c r="I75" i="15"/>
  <c r="I76" i="15"/>
  <c r="R9" i="32" l="1"/>
  <c r="R11" i="32" s="1"/>
  <c r="AM5" i="32"/>
  <c r="S9" i="32"/>
  <c r="T9" i="32"/>
  <c r="AK9" i="32"/>
  <c r="AA5" i="32"/>
  <c r="AC5" i="32"/>
  <c r="AF5" i="32"/>
  <c r="AG5" i="32"/>
  <c r="AI5" i="32"/>
  <c r="AN7" i="32"/>
  <c r="AH7" i="32"/>
  <c r="AB7" i="32"/>
  <c r="AA7" i="32"/>
  <c r="AI7" i="32"/>
  <c r="AM7" i="32"/>
  <c r="AF7" i="32"/>
  <c r="V7" i="32"/>
  <c r="AC7" i="32"/>
  <c r="AG7" i="32"/>
  <c r="AI6" i="32"/>
  <c r="AC6" i="32"/>
  <c r="AH6" i="32"/>
  <c r="AB6" i="32"/>
  <c r="AM6" i="32"/>
  <c r="AG6" i="32"/>
  <c r="AA6" i="32"/>
  <c r="AF6" i="32"/>
  <c r="AN6" i="32"/>
  <c r="V6" i="32"/>
  <c r="U9" i="32"/>
  <c r="M9" i="32"/>
  <c r="V5" i="32"/>
  <c r="AB5" i="32"/>
  <c r="AH5" i="32"/>
  <c r="G5" i="30"/>
  <c r="H5" i="30"/>
  <c r="G7" i="30"/>
  <c r="G8" i="30"/>
  <c r="H6" i="30"/>
  <c r="M6" i="30" s="1"/>
  <c r="H7" i="30"/>
  <c r="H8" i="30"/>
  <c r="AD28" i="30"/>
  <c r="F28" i="30"/>
  <c r="BE26" i="30"/>
  <c r="AH26" i="30"/>
  <c r="AG26" i="30"/>
  <c r="AF26" i="30"/>
  <c r="AE26" i="30"/>
  <c r="AB26" i="30"/>
  <c r="BA26" i="30" s="1"/>
  <c r="Z26" i="30"/>
  <c r="X26" i="30"/>
  <c r="V26" i="30"/>
  <c r="U26" i="30"/>
  <c r="T26" i="30"/>
  <c r="S26" i="30"/>
  <c r="Q26" i="30"/>
  <c r="P26" i="30"/>
  <c r="O26" i="30"/>
  <c r="N26" i="30"/>
  <c r="H26" i="30"/>
  <c r="G26" i="30"/>
  <c r="BE25" i="30"/>
  <c r="AH25" i="30"/>
  <c r="AG25" i="30"/>
  <c r="AF25" i="30"/>
  <c r="AE25" i="30"/>
  <c r="AB25" i="30"/>
  <c r="BA25" i="30" s="1"/>
  <c r="Z25" i="30"/>
  <c r="X25" i="30"/>
  <c r="V25" i="30"/>
  <c r="U25" i="30"/>
  <c r="T25" i="30"/>
  <c r="S25" i="30"/>
  <c r="Q25" i="30"/>
  <c r="R25" i="30" s="1"/>
  <c r="P25" i="30"/>
  <c r="O25" i="30"/>
  <c r="N25" i="30"/>
  <c r="H25" i="30"/>
  <c r="G25" i="30"/>
  <c r="BE24" i="30"/>
  <c r="AH24" i="30"/>
  <c r="AG24" i="30"/>
  <c r="AF24" i="30"/>
  <c r="AE24" i="30"/>
  <c r="AB24" i="30"/>
  <c r="BA24" i="30" s="1"/>
  <c r="Z24" i="30"/>
  <c r="X24" i="30"/>
  <c r="V24" i="30"/>
  <c r="U24" i="30"/>
  <c r="T24" i="30"/>
  <c r="S24" i="30"/>
  <c r="R24" i="30"/>
  <c r="Q24" i="30"/>
  <c r="P24" i="30"/>
  <c r="O24" i="30"/>
  <c r="N24" i="30"/>
  <c r="H24" i="30"/>
  <c r="G24" i="30"/>
  <c r="BE23" i="30"/>
  <c r="AH23" i="30"/>
  <c r="AG23" i="30"/>
  <c r="AF23" i="30"/>
  <c r="AE23" i="30"/>
  <c r="AB23" i="30"/>
  <c r="BA23" i="30" s="1"/>
  <c r="Z23" i="30"/>
  <c r="X23" i="30"/>
  <c r="V23" i="30"/>
  <c r="U23" i="30"/>
  <c r="T23" i="30"/>
  <c r="S23" i="30"/>
  <c r="Q23" i="30"/>
  <c r="R23" i="30" s="1"/>
  <c r="P23" i="30"/>
  <c r="O23" i="30"/>
  <c r="N23" i="30"/>
  <c r="H23" i="30"/>
  <c r="G23" i="30"/>
  <c r="BE22" i="30"/>
  <c r="AH22" i="30"/>
  <c r="AG22" i="30"/>
  <c r="AF22" i="30"/>
  <c r="AE22" i="30"/>
  <c r="AB22" i="30"/>
  <c r="BA22" i="30" s="1"/>
  <c r="Z22" i="30"/>
  <c r="X22" i="30"/>
  <c r="V22" i="30"/>
  <c r="U22" i="30"/>
  <c r="T22" i="30"/>
  <c r="S22" i="30"/>
  <c r="Q22" i="30"/>
  <c r="R22" i="30" s="1"/>
  <c r="P22" i="30"/>
  <c r="O22" i="30"/>
  <c r="N22" i="30"/>
  <c r="H22" i="30"/>
  <c r="G22" i="30"/>
  <c r="AH21" i="30"/>
  <c r="AG21" i="30"/>
  <c r="AF21" i="30"/>
  <c r="AE21" i="30"/>
  <c r="AB21" i="30"/>
  <c r="BA21" i="30" s="1"/>
  <c r="Z21" i="30"/>
  <c r="X21" i="30"/>
  <c r="V21" i="30"/>
  <c r="U21" i="30"/>
  <c r="T21" i="30"/>
  <c r="S21" i="30"/>
  <c r="R21" i="30"/>
  <c r="Q21" i="30"/>
  <c r="P21" i="30"/>
  <c r="O21" i="30"/>
  <c r="H21" i="30"/>
  <c r="G21" i="30"/>
  <c r="BE20" i="30"/>
  <c r="AH20" i="30"/>
  <c r="AG20" i="30"/>
  <c r="AF20" i="30"/>
  <c r="AE20" i="30"/>
  <c r="AB20" i="30"/>
  <c r="BA20" i="30" s="1"/>
  <c r="Z20" i="30"/>
  <c r="X20" i="30"/>
  <c r="V20" i="30"/>
  <c r="U20" i="30"/>
  <c r="T20" i="30"/>
  <c r="S20" i="30"/>
  <c r="R20" i="30"/>
  <c r="Q20" i="30"/>
  <c r="P20" i="30"/>
  <c r="O20" i="30"/>
  <c r="N20" i="30"/>
  <c r="H20" i="30"/>
  <c r="G20" i="30"/>
  <c r="BE19" i="30"/>
  <c r="AH19" i="30"/>
  <c r="AG19" i="30"/>
  <c r="AF19" i="30"/>
  <c r="AE19" i="30"/>
  <c r="AB19" i="30"/>
  <c r="BA19" i="30" s="1"/>
  <c r="Z19" i="30"/>
  <c r="X19" i="30"/>
  <c r="V19" i="30"/>
  <c r="U19" i="30"/>
  <c r="T19" i="30"/>
  <c r="S19" i="30"/>
  <c r="Q19" i="30"/>
  <c r="R19" i="30" s="1"/>
  <c r="P19" i="30"/>
  <c r="O19" i="30"/>
  <c r="N19" i="30"/>
  <c r="H19" i="30"/>
  <c r="G19" i="30"/>
  <c r="BE18" i="30"/>
  <c r="AH18" i="30"/>
  <c r="AG18" i="30"/>
  <c r="AF18" i="30"/>
  <c r="AE18" i="30"/>
  <c r="AB18" i="30"/>
  <c r="BA18" i="30" s="1"/>
  <c r="Z18" i="30"/>
  <c r="X18" i="30"/>
  <c r="V18" i="30"/>
  <c r="U18" i="30"/>
  <c r="T18" i="30"/>
  <c r="S18" i="30"/>
  <c r="Q18" i="30"/>
  <c r="R18" i="30" s="1"/>
  <c r="P18" i="30"/>
  <c r="O18" i="30"/>
  <c r="N18" i="30"/>
  <c r="H18" i="30"/>
  <c r="G18" i="30"/>
  <c r="BE17" i="30"/>
  <c r="AH17" i="30"/>
  <c r="AG17" i="30"/>
  <c r="AF17" i="30"/>
  <c r="AE17" i="30"/>
  <c r="AB17" i="30"/>
  <c r="BA17" i="30" s="1"/>
  <c r="Z17" i="30"/>
  <c r="X17" i="30"/>
  <c r="V17" i="30"/>
  <c r="U17" i="30"/>
  <c r="T17" i="30"/>
  <c r="S17" i="30"/>
  <c r="R17" i="30"/>
  <c r="Q17" i="30"/>
  <c r="P17" i="30"/>
  <c r="O17" i="30"/>
  <c r="N17" i="30"/>
  <c r="H17" i="30"/>
  <c r="G17" i="30"/>
  <c r="BE15" i="30"/>
  <c r="AH15" i="30"/>
  <c r="AG15" i="30"/>
  <c r="AF15" i="30"/>
  <c r="AE15" i="30"/>
  <c r="AB15" i="30"/>
  <c r="BA15" i="30" s="1"/>
  <c r="Z15" i="30"/>
  <c r="X15" i="30"/>
  <c r="V15" i="30"/>
  <c r="U15" i="30"/>
  <c r="T15" i="30"/>
  <c r="S15" i="30"/>
  <c r="Q15" i="30"/>
  <c r="R15" i="30" s="1"/>
  <c r="P15" i="30"/>
  <c r="O15" i="30"/>
  <c r="N15" i="30"/>
  <c r="H15" i="30"/>
  <c r="G15" i="30"/>
  <c r="BE14" i="30"/>
  <c r="AH14" i="30"/>
  <c r="AG14" i="30"/>
  <c r="AF14" i="30"/>
  <c r="AE14" i="30"/>
  <c r="AB14" i="30"/>
  <c r="BA14" i="30" s="1"/>
  <c r="Z14" i="30"/>
  <c r="X14" i="30"/>
  <c r="V14" i="30"/>
  <c r="U14" i="30"/>
  <c r="T14" i="30"/>
  <c r="S14" i="30"/>
  <c r="Q14" i="30"/>
  <c r="R14" i="30" s="1"/>
  <c r="P14" i="30"/>
  <c r="O14" i="30"/>
  <c r="N14" i="30"/>
  <c r="H14" i="30"/>
  <c r="G14" i="30"/>
  <c r="AH13" i="30"/>
  <c r="AG13" i="30"/>
  <c r="AF13" i="30"/>
  <c r="AE13" i="30"/>
  <c r="AB13" i="30"/>
  <c r="BA13" i="30" s="1"/>
  <c r="Z13" i="30"/>
  <c r="X13" i="30"/>
  <c r="V13" i="30"/>
  <c r="U13" i="30"/>
  <c r="T13" i="30"/>
  <c r="S13" i="30"/>
  <c r="R13" i="30"/>
  <c r="Q13" i="30"/>
  <c r="P13" i="30"/>
  <c r="O13" i="30"/>
  <c r="H13" i="30"/>
  <c r="G13" i="30"/>
  <c r="AH12" i="30"/>
  <c r="AG12" i="30"/>
  <c r="AF12" i="30"/>
  <c r="AE12" i="30"/>
  <c r="AB12" i="30"/>
  <c r="BA12" i="30" s="1"/>
  <c r="Z12" i="30"/>
  <c r="X12" i="30"/>
  <c r="V12" i="30"/>
  <c r="U12" i="30"/>
  <c r="T12" i="30"/>
  <c r="S12" i="30"/>
  <c r="Q12" i="30"/>
  <c r="P12" i="30"/>
  <c r="O12" i="30"/>
  <c r="N12" i="30"/>
  <c r="H12" i="30"/>
  <c r="G12" i="30"/>
  <c r="AH11" i="30"/>
  <c r="AG11" i="30"/>
  <c r="AF11" i="30"/>
  <c r="AE11" i="30"/>
  <c r="AB11" i="30"/>
  <c r="BA11" i="30" s="1"/>
  <c r="Z11" i="30"/>
  <c r="X11" i="30"/>
  <c r="V11" i="30"/>
  <c r="U11" i="30"/>
  <c r="T11" i="30"/>
  <c r="S11" i="30"/>
  <c r="Q11" i="30"/>
  <c r="R11" i="30" s="1"/>
  <c r="P11" i="30"/>
  <c r="O11" i="30"/>
  <c r="N11" i="30"/>
  <c r="H11" i="30"/>
  <c r="G11" i="30"/>
  <c r="BE10" i="30"/>
  <c r="AH10" i="30"/>
  <c r="AG10" i="30"/>
  <c r="AF10" i="30"/>
  <c r="AE10" i="30"/>
  <c r="AB10" i="30"/>
  <c r="BA10" i="30" s="1"/>
  <c r="Z10" i="30"/>
  <c r="X10" i="30"/>
  <c r="V10" i="30"/>
  <c r="U10" i="30"/>
  <c r="T10" i="30"/>
  <c r="S10" i="30"/>
  <c r="Q10" i="30"/>
  <c r="R10" i="30" s="1"/>
  <c r="P10" i="30"/>
  <c r="O10" i="30"/>
  <c r="N10" i="30"/>
  <c r="H10" i="30"/>
  <c r="G10" i="30"/>
  <c r="BE9" i="30"/>
  <c r="AH9" i="30"/>
  <c r="AG9" i="30"/>
  <c r="AF9" i="30"/>
  <c r="AE9" i="30"/>
  <c r="AB9" i="30"/>
  <c r="BA9" i="30" s="1"/>
  <c r="Z9" i="30"/>
  <c r="X9" i="30"/>
  <c r="V9" i="30"/>
  <c r="U9" i="30"/>
  <c r="T9" i="30"/>
  <c r="S9" i="30"/>
  <c r="Q9" i="30"/>
  <c r="R9" i="30" s="1"/>
  <c r="P9" i="30"/>
  <c r="O9" i="30"/>
  <c r="N9" i="30"/>
  <c r="H9" i="30"/>
  <c r="G9" i="30"/>
  <c r="BE8" i="30"/>
  <c r="AH8" i="30"/>
  <c r="AG8" i="30"/>
  <c r="AF8" i="30"/>
  <c r="AE8" i="30"/>
  <c r="AB8" i="30"/>
  <c r="BA8" i="30" s="1"/>
  <c r="Z8" i="30"/>
  <c r="X8" i="30"/>
  <c r="V8" i="30"/>
  <c r="U8" i="30"/>
  <c r="T8" i="30"/>
  <c r="S8" i="30"/>
  <c r="Q8" i="30"/>
  <c r="P8" i="30"/>
  <c r="O8" i="30"/>
  <c r="N8" i="30"/>
  <c r="M8" i="30"/>
  <c r="BE7" i="30"/>
  <c r="AH7" i="30"/>
  <c r="AG7" i="30"/>
  <c r="AF7" i="30"/>
  <c r="AE7" i="30"/>
  <c r="AB7" i="30"/>
  <c r="BA7" i="30" s="1"/>
  <c r="Z7" i="30"/>
  <c r="X7" i="30"/>
  <c r="V7" i="30"/>
  <c r="U7" i="30"/>
  <c r="T7" i="30"/>
  <c r="S7" i="30"/>
  <c r="R7" i="30"/>
  <c r="Q7" i="30"/>
  <c r="P7" i="30"/>
  <c r="O7" i="30"/>
  <c r="N7" i="30"/>
  <c r="BE6" i="30"/>
  <c r="AH6" i="30"/>
  <c r="AG6" i="30"/>
  <c r="AF6" i="30"/>
  <c r="AE6" i="30"/>
  <c r="AB6" i="30"/>
  <c r="BA6" i="30" s="1"/>
  <c r="Z6" i="30"/>
  <c r="X6" i="30"/>
  <c r="V6" i="30"/>
  <c r="U6" i="30"/>
  <c r="T6" i="30"/>
  <c r="S6" i="30"/>
  <c r="R6" i="30"/>
  <c r="Q6" i="30"/>
  <c r="P6" i="30"/>
  <c r="O6" i="30"/>
  <c r="N6" i="30"/>
  <c r="AH5" i="30"/>
  <c r="AG5" i="30"/>
  <c r="AF5" i="30"/>
  <c r="AE5" i="30"/>
  <c r="AB5" i="30"/>
  <c r="BA5" i="30" s="1"/>
  <c r="Z5" i="30"/>
  <c r="X5" i="30"/>
  <c r="V5" i="30"/>
  <c r="U5" i="30"/>
  <c r="T5" i="30"/>
  <c r="S5" i="30"/>
  <c r="R5" i="30"/>
  <c r="Q5" i="30"/>
  <c r="P5" i="30"/>
  <c r="O5" i="30"/>
  <c r="N5" i="30"/>
  <c r="V28" i="30" l="1"/>
  <c r="W34" i="30" s="1"/>
  <c r="AY8" i="30"/>
  <c r="AX8" i="30"/>
  <c r="AY6" i="30"/>
  <c r="AX6" i="30"/>
  <c r="M5" i="30"/>
  <c r="AS5" i="30" s="1"/>
  <c r="M15" i="30"/>
  <c r="AS15" i="30" s="1"/>
  <c r="M25" i="30"/>
  <c r="AR25" i="30" s="1"/>
  <c r="M9" i="30"/>
  <c r="AI9" i="30" s="1"/>
  <c r="M24" i="30"/>
  <c r="AO24" i="30" s="1"/>
  <c r="M12" i="30"/>
  <c r="M20" i="30"/>
  <c r="M18" i="30"/>
  <c r="M10" i="30"/>
  <c r="BD10" i="30" s="1"/>
  <c r="M7" i="30"/>
  <c r="AB9" i="32"/>
  <c r="AN9" i="32"/>
  <c r="AH9" i="32"/>
  <c r="AC9" i="32"/>
  <c r="AG9" i="32"/>
  <c r="AF9" i="32"/>
  <c r="AA9" i="32"/>
  <c r="AI9" i="32"/>
  <c r="X6" i="32"/>
  <c r="W6" i="32"/>
  <c r="AL6" i="32"/>
  <c r="AL5" i="32"/>
  <c r="X5" i="32"/>
  <c r="W5" i="32"/>
  <c r="X7" i="32"/>
  <c r="W7" i="32"/>
  <c r="AL7" i="32"/>
  <c r="M11" i="30"/>
  <c r="M22" i="30"/>
  <c r="BD22" i="30" s="1"/>
  <c r="M26" i="30"/>
  <c r="M17" i="30"/>
  <c r="BA28" i="30"/>
  <c r="M14" i="30"/>
  <c r="M23" i="30"/>
  <c r="M13" i="30"/>
  <c r="AR12" i="30"/>
  <c r="M19" i="30"/>
  <c r="M21" i="30"/>
  <c r="Y28" i="30"/>
  <c r="F31" i="30" s="1"/>
  <c r="AG28" i="30"/>
  <c r="AI6" i="30"/>
  <c r="BD6" i="30"/>
  <c r="AS6" i="30"/>
  <c r="BC6" i="30"/>
  <c r="AR6" i="30"/>
  <c r="AI8" i="30"/>
  <c r="BD8" i="30"/>
  <c r="AS8" i="30"/>
  <c r="BC8" i="30"/>
  <c r="AR8" i="30"/>
  <c r="Z28" i="30"/>
  <c r="F32" i="30" s="1"/>
  <c r="AH28" i="30"/>
  <c r="BE28" i="30"/>
  <c r="S28" i="30"/>
  <c r="W30" i="30" s="1"/>
  <c r="N28" i="30"/>
  <c r="W32" i="30" s="1"/>
  <c r="T28" i="30"/>
  <c r="W31" i="30" s="1"/>
  <c r="AA28" i="30"/>
  <c r="O28" i="30"/>
  <c r="AI12" i="30"/>
  <c r="R28" i="30"/>
  <c r="AE28" i="30"/>
  <c r="AE30" i="30" s="1"/>
  <c r="AI10" i="30"/>
  <c r="BD25" i="30"/>
  <c r="AS25" i="30"/>
  <c r="U28" i="30"/>
  <c r="P28" i="30"/>
  <c r="W33" i="30" s="1"/>
  <c r="Q28" i="30"/>
  <c r="X28" i="30"/>
  <c r="F30" i="30" s="1"/>
  <c r="AF28" i="30"/>
  <c r="AQ12" i="30"/>
  <c r="BC10" i="30" l="1"/>
  <c r="BC22" i="30"/>
  <c r="AI25" i="30"/>
  <c r="BB25" i="30" s="1"/>
  <c r="AW19" i="30"/>
  <c r="AV19" i="30"/>
  <c r="AX18" i="30"/>
  <c r="AY18" i="30"/>
  <c r="BC15" i="30"/>
  <c r="AY15" i="30"/>
  <c r="AX15" i="30"/>
  <c r="BD24" i="30"/>
  <c r="BD17" i="30"/>
  <c r="AY17" i="30"/>
  <c r="AX17" i="30"/>
  <c r="AY20" i="30"/>
  <c r="AX20" i="30"/>
  <c r="AY5" i="30"/>
  <c r="AX5" i="30"/>
  <c r="AP24" i="30"/>
  <c r="BD20" i="30"/>
  <c r="AI5" i="30"/>
  <c r="BB5" i="30" s="1"/>
  <c r="AQ26" i="30"/>
  <c r="AY26" i="30"/>
  <c r="AV26" i="30"/>
  <c r="AW26" i="30"/>
  <c r="AX26" i="30"/>
  <c r="BC12" i="30"/>
  <c r="AW12" i="30"/>
  <c r="AV12" i="30"/>
  <c r="AY12" i="30"/>
  <c r="AX12" i="30"/>
  <c r="AX13" i="30"/>
  <c r="AV13" i="30"/>
  <c r="AY13" i="30"/>
  <c r="AW13" i="30"/>
  <c r="AW22" i="30"/>
  <c r="AV22" i="30"/>
  <c r="AW24" i="30"/>
  <c r="AV24" i="30"/>
  <c r="AY24" i="30"/>
  <c r="AX24" i="30"/>
  <c r="BC23" i="30"/>
  <c r="AW23" i="30"/>
  <c r="AX23" i="30"/>
  <c r="AV23" i="30"/>
  <c r="AY23" i="30"/>
  <c r="BD11" i="30"/>
  <c r="AW11" i="30"/>
  <c r="AX11" i="30"/>
  <c r="AY11" i="30"/>
  <c r="AV11" i="30"/>
  <c r="AX7" i="30"/>
  <c r="AY7" i="30"/>
  <c r="BD9" i="30"/>
  <c r="AY9" i="30"/>
  <c r="AX9" i="30"/>
  <c r="BD18" i="30"/>
  <c r="BC9" i="30"/>
  <c r="AV21" i="30"/>
  <c r="AX21" i="30"/>
  <c r="AY21" i="30"/>
  <c r="AW21" i="30"/>
  <c r="AW14" i="30"/>
  <c r="AV14" i="30"/>
  <c r="AV10" i="30"/>
  <c r="AW10" i="30"/>
  <c r="BC25" i="30"/>
  <c r="AY25" i="30"/>
  <c r="AX25" i="30"/>
  <c r="AI15" i="30"/>
  <c r="BB15" i="30" s="1"/>
  <c r="BD15" i="30"/>
  <c r="BD5" i="30"/>
  <c r="AI18" i="30"/>
  <c r="BB18" i="30" s="1"/>
  <c r="AS9" i="30"/>
  <c r="AO12" i="30"/>
  <c r="BD12" i="30"/>
  <c r="BD23" i="30"/>
  <c r="AR5" i="30"/>
  <c r="AS18" i="30"/>
  <c r="AR15" i="30"/>
  <c r="BC5" i="30"/>
  <c r="AR9" i="30"/>
  <c r="AS12" i="30"/>
  <c r="BC20" i="30"/>
  <c r="BD26" i="30"/>
  <c r="AS26" i="30"/>
  <c r="AP26" i="30"/>
  <c r="AR24" i="30"/>
  <c r="AQ24" i="30"/>
  <c r="AI24" i="30"/>
  <c r="BB24" i="30" s="1"/>
  <c r="AS24" i="30"/>
  <c r="AR23" i="30"/>
  <c r="AP12" i="30"/>
  <c r="BC24" i="30"/>
  <c r="AI20" i="30"/>
  <c r="AJ20" i="30" s="1"/>
  <c r="AS23" i="30"/>
  <c r="AI22" i="30"/>
  <c r="BB22" i="30" s="1"/>
  <c r="AR18" i="30"/>
  <c r="BC18" i="30"/>
  <c r="AI7" i="30"/>
  <c r="BB7" i="30" s="1"/>
  <c r="AL7" i="30"/>
  <c r="AU7" i="30"/>
  <c r="BC7" i="30"/>
  <c r="AM7" i="30"/>
  <c r="AN7" i="30"/>
  <c r="AS7" i="30"/>
  <c r="AT7" i="30"/>
  <c r="BD7" i="30"/>
  <c r="AI17" i="30"/>
  <c r="AJ17" i="30" s="1"/>
  <c r="AP17" i="30" s="1"/>
  <c r="AR17" i="30"/>
  <c r="AS17" i="30"/>
  <c r="BC17" i="30"/>
  <c r="AR7" i="30"/>
  <c r="BC14" i="30"/>
  <c r="BD14" i="30"/>
  <c r="AR11" i="30"/>
  <c r="AI11" i="30"/>
  <c r="AJ11" i="30" s="1"/>
  <c r="AS11" i="30"/>
  <c r="AQ11" i="30"/>
  <c r="V9" i="32"/>
  <c r="AM9" i="32"/>
  <c r="AL9" i="32"/>
  <c r="AJ7" i="32"/>
  <c r="AD7" i="32"/>
  <c r="AE7" i="32"/>
  <c r="X9" i="32"/>
  <c r="AE5" i="32"/>
  <c r="AD5" i="32"/>
  <c r="AJ5" i="32"/>
  <c r="Y6" i="32"/>
  <c r="Z6" i="32"/>
  <c r="Y7" i="32"/>
  <c r="Z7" i="32"/>
  <c r="W9" i="32"/>
  <c r="Z5" i="32"/>
  <c r="Y5" i="32"/>
  <c r="AE6" i="32"/>
  <c r="AJ6" i="32"/>
  <c r="AD6" i="32"/>
  <c r="AR21" i="30"/>
  <c r="AS21" i="30"/>
  <c r="BC21" i="30"/>
  <c r="AI21" i="30"/>
  <c r="AK21" i="30" s="1"/>
  <c r="AZ21" i="30" s="1"/>
  <c r="AP21" i="30"/>
  <c r="BC11" i="30"/>
  <c r="AP11" i="30"/>
  <c r="BC26" i="30"/>
  <c r="AO11" i="30"/>
  <c r="BC13" i="30"/>
  <c r="AS13" i="30"/>
  <c r="AI26" i="30"/>
  <c r="AK26" i="30" s="1"/>
  <c r="AZ26" i="30" s="1"/>
  <c r="AR26" i="30"/>
  <c r="AO26" i="30"/>
  <c r="AI14" i="30"/>
  <c r="AK14" i="30" s="1"/>
  <c r="AY14" i="30" s="1"/>
  <c r="AO21" i="30"/>
  <c r="AI13" i="30"/>
  <c r="BB13" i="30" s="1"/>
  <c r="BD13" i="30"/>
  <c r="AI23" i="30"/>
  <c r="BB23" i="30" s="1"/>
  <c r="AR13" i="30"/>
  <c r="AQ21" i="30"/>
  <c r="BD21" i="30"/>
  <c r="BC19" i="30"/>
  <c r="AI19" i="30"/>
  <c r="BB19" i="30" s="1"/>
  <c r="BD19" i="30"/>
  <c r="AJ10" i="30"/>
  <c r="BB10" i="30"/>
  <c r="AK10" i="30"/>
  <c r="AY10" i="30" s="1"/>
  <c r="AJ8" i="30"/>
  <c r="AK8" i="30"/>
  <c r="BB8" i="30"/>
  <c r="BB9" i="30"/>
  <c r="AK9" i="30"/>
  <c r="AZ9" i="30" s="1"/>
  <c r="AJ9" i="30"/>
  <c r="BB6" i="30"/>
  <c r="AK6" i="30"/>
  <c r="AJ6" i="30"/>
  <c r="BB12" i="30"/>
  <c r="AK12" i="30"/>
  <c r="AZ12" i="30" s="1"/>
  <c r="AJ12" i="30"/>
  <c r="AJ25" i="30"/>
  <c r="AJ7" i="30" l="1"/>
  <c r="AK25" i="30"/>
  <c r="AZ25" i="30" s="1"/>
  <c r="AK15" i="30"/>
  <c r="AZ15" i="30" s="1"/>
  <c r="AK7" i="30"/>
  <c r="AV7" i="30" s="1"/>
  <c r="AJ15" i="30"/>
  <c r="AJ24" i="30"/>
  <c r="AZ14" i="30"/>
  <c r="AX14" i="30"/>
  <c r="AZ7" i="30"/>
  <c r="AJ5" i="30"/>
  <c r="AP5" i="30" s="1"/>
  <c r="AK24" i="30"/>
  <c r="AZ24" i="30" s="1"/>
  <c r="AW9" i="30"/>
  <c r="BB11" i="30"/>
  <c r="AW25" i="30"/>
  <c r="AJ18" i="30"/>
  <c r="AO18" i="30" s="1"/>
  <c r="AK5" i="30"/>
  <c r="AV25" i="30"/>
  <c r="AZ10" i="30"/>
  <c r="AV9" i="30"/>
  <c r="AW7" i="30"/>
  <c r="AX10" i="30"/>
  <c r="AV6" i="30"/>
  <c r="AZ6" i="30"/>
  <c r="AW6" i="30"/>
  <c r="AZ8" i="30"/>
  <c r="AV8" i="30"/>
  <c r="AW8" i="30"/>
  <c r="BB21" i="30"/>
  <c r="AJ21" i="30"/>
  <c r="AN21" i="30" s="1"/>
  <c r="AK18" i="30"/>
  <c r="AK11" i="30"/>
  <c r="AZ11" i="30" s="1"/>
  <c r="BB26" i="30"/>
  <c r="AJ26" i="30"/>
  <c r="AL26" i="30" s="1"/>
  <c r="AJ22" i="30"/>
  <c r="AK20" i="30"/>
  <c r="BB20" i="30"/>
  <c r="AS20" i="30"/>
  <c r="AR20" i="30"/>
  <c r="AK23" i="30"/>
  <c r="AJ23" i="30"/>
  <c r="AN23" i="30" s="1"/>
  <c r="AK22" i="30"/>
  <c r="AQ20" i="30"/>
  <c r="AO20" i="30"/>
  <c r="AP20" i="30"/>
  <c r="AO17" i="30"/>
  <c r="AK17" i="30"/>
  <c r="AQ17" i="30"/>
  <c r="BB17" i="30"/>
  <c r="AO15" i="30"/>
  <c r="AP15" i="30"/>
  <c r="AQ15" i="30"/>
  <c r="BB14" i="30"/>
  <c r="AJ14" i="30"/>
  <c r="AS10" i="30"/>
  <c r="AR10" i="30"/>
  <c r="AP10" i="30"/>
  <c r="AQ10" i="30"/>
  <c r="AO10" i="30"/>
  <c r="AQ6" i="30"/>
  <c r="AP6" i="30"/>
  <c r="AO6" i="30"/>
  <c r="AQ5" i="30"/>
  <c r="AO5" i="30"/>
  <c r="AE9" i="32"/>
  <c r="Y9" i="32"/>
  <c r="Z9" i="32"/>
  <c r="AJ9" i="32"/>
  <c r="Y15" i="32" s="1"/>
  <c r="Y21" i="32" s="1"/>
  <c r="AD9" i="32"/>
  <c r="AO9" i="30"/>
  <c r="AP9" i="30"/>
  <c r="AQ9" i="30"/>
  <c r="AQ8" i="30"/>
  <c r="AP8" i="30"/>
  <c r="AO8" i="30"/>
  <c r="AJ13" i="30"/>
  <c r="AJ19" i="30"/>
  <c r="AK13" i="30"/>
  <c r="AZ13" i="30" s="1"/>
  <c r="AK19" i="30"/>
  <c r="AU18" i="30"/>
  <c r="AT18" i="30"/>
  <c r="AU15" i="30"/>
  <c r="AT15" i="30"/>
  <c r="AM18" i="30"/>
  <c r="AN18" i="30"/>
  <c r="AL18" i="30"/>
  <c r="AU14" i="30"/>
  <c r="AT14" i="30"/>
  <c r="AL15" i="30"/>
  <c r="AN15" i="30"/>
  <c r="AM15" i="30"/>
  <c r="AU25" i="30"/>
  <c r="AT25" i="30"/>
  <c r="AN25" i="30"/>
  <c r="AL25" i="30"/>
  <c r="AM25" i="30"/>
  <c r="AM14" i="30"/>
  <c r="AN14" i="30"/>
  <c r="AL14" i="30"/>
  <c r="BC28" i="30"/>
  <c r="BD28" i="30"/>
  <c r="AN22" i="30"/>
  <c r="AM22" i="30"/>
  <c r="AL22" i="30"/>
  <c r="AP7" i="30"/>
  <c r="AQ7" i="30"/>
  <c r="AO7" i="30"/>
  <c r="AP14" i="30"/>
  <c r="AO14" i="30"/>
  <c r="AQ14" i="30"/>
  <c r="AN24" i="30"/>
  <c r="AL24" i="30"/>
  <c r="AM24" i="30"/>
  <c r="AI28" i="30"/>
  <c r="AQ19" i="30"/>
  <c r="AO19" i="30"/>
  <c r="AP19" i="30"/>
  <c r="AN20" i="30"/>
  <c r="AL20" i="30"/>
  <c r="AM20" i="30"/>
  <c r="AT20" i="30"/>
  <c r="AU20" i="30"/>
  <c r="AT9" i="30"/>
  <c r="AU9" i="30"/>
  <c r="AQ25" i="30"/>
  <c r="AP25" i="30"/>
  <c r="AO25" i="30"/>
  <c r="AU10" i="30"/>
  <c r="AT10" i="30"/>
  <c r="AN6" i="30"/>
  <c r="AL6" i="30"/>
  <c r="AM6" i="30"/>
  <c r="AL9" i="30"/>
  <c r="AN9" i="30"/>
  <c r="AM9" i="30"/>
  <c r="AT21" i="30"/>
  <c r="AU21" i="30"/>
  <c r="AU6" i="30"/>
  <c r="AT6" i="30"/>
  <c r="AM11" i="30"/>
  <c r="AL11" i="30"/>
  <c r="AN11" i="30"/>
  <c r="AU12" i="30"/>
  <c r="AT12" i="30"/>
  <c r="AT8" i="30"/>
  <c r="AU8" i="30"/>
  <c r="AU11" i="30"/>
  <c r="AT26" i="30"/>
  <c r="AU26" i="30"/>
  <c r="AT5" i="30"/>
  <c r="AU5" i="30"/>
  <c r="AM21" i="30"/>
  <c r="AL12" i="30"/>
  <c r="AM12" i="30"/>
  <c r="AN12" i="30"/>
  <c r="AT17" i="30"/>
  <c r="AU17" i="30"/>
  <c r="AO23" i="30"/>
  <c r="AQ23" i="30"/>
  <c r="AP23" i="30"/>
  <c r="AN5" i="30"/>
  <c r="AL5" i="30"/>
  <c r="AM5" i="30"/>
  <c r="AM8" i="30"/>
  <c r="AN8" i="30"/>
  <c r="AL8" i="30"/>
  <c r="AL17" i="30"/>
  <c r="AN17" i="30"/>
  <c r="AM17" i="30"/>
  <c r="AL10" i="30"/>
  <c r="AN10" i="30"/>
  <c r="AM10" i="30"/>
  <c r="AV15" i="30" l="1"/>
  <c r="AW15" i="30"/>
  <c r="AQ18" i="30"/>
  <c r="AT11" i="30"/>
  <c r="AL21" i="30"/>
  <c r="AT24" i="30"/>
  <c r="AU24" i="30"/>
  <c r="AU23" i="30"/>
  <c r="AZ23" i="30"/>
  <c r="AY19" i="30"/>
  <c r="AX19" i="30"/>
  <c r="AX28" i="30" s="1"/>
  <c r="AZ19" i="30"/>
  <c r="AP18" i="30"/>
  <c r="AZ18" i="30"/>
  <c r="AW18" i="30"/>
  <c r="AV18" i="30"/>
  <c r="AN26" i="30"/>
  <c r="AZ22" i="30"/>
  <c r="AX22" i="30"/>
  <c r="AY22" i="30"/>
  <c r="AV20" i="30"/>
  <c r="AZ20" i="30"/>
  <c r="AW20" i="30"/>
  <c r="AT13" i="30"/>
  <c r="AZ17" i="30"/>
  <c r="AV17" i="30"/>
  <c r="AW17" i="30"/>
  <c r="AV5" i="30"/>
  <c r="AZ5" i="30"/>
  <c r="AW5" i="30"/>
  <c r="AM23" i="30"/>
  <c r="AM26" i="30"/>
  <c r="AL23" i="30"/>
  <c r="AT23" i="30"/>
  <c r="AS22" i="30"/>
  <c r="AR22" i="30"/>
  <c r="AT22" i="30"/>
  <c r="AP22" i="30"/>
  <c r="AO22" i="30"/>
  <c r="AQ22" i="30"/>
  <c r="AU22" i="30"/>
  <c r="AU19" i="30"/>
  <c r="AL19" i="30"/>
  <c r="AR19" i="30"/>
  <c r="AS19" i="30"/>
  <c r="AM19" i="30"/>
  <c r="AN19" i="30"/>
  <c r="AR14" i="30"/>
  <c r="AS14" i="30"/>
  <c r="AU13" i="30"/>
  <c r="AN13" i="30"/>
  <c r="AQ13" i="30"/>
  <c r="AP13" i="30"/>
  <c r="AO13" i="30"/>
  <c r="Y23" i="32"/>
  <c r="Y13" i="32"/>
  <c r="AL13" i="30"/>
  <c r="AM13" i="30"/>
  <c r="BB28" i="30"/>
  <c r="AT19" i="30"/>
  <c r="AK28" i="30"/>
  <c r="AJ28" i="30"/>
  <c r="AY28" i="30" l="1"/>
  <c r="AO28" i="30"/>
  <c r="AR28" i="30"/>
  <c r="AP28" i="30"/>
  <c r="AQ28" i="30"/>
  <c r="AT28" i="30"/>
  <c r="AS28" i="30"/>
  <c r="AW28" i="30"/>
  <c r="AV28" i="30"/>
  <c r="AM28" i="30"/>
  <c r="AL28" i="30"/>
  <c r="Y19" i="32"/>
  <c r="Y17" i="32"/>
  <c r="AU28" i="30"/>
  <c r="AN28" i="30"/>
  <c r="AZ28" i="30"/>
  <c r="AK31" i="30" l="1"/>
  <c r="AK33" i="30"/>
  <c r="AK41" i="30"/>
  <c r="AK35" i="30" l="1"/>
  <c r="G26" i="29" l="1"/>
  <c r="G25" i="29"/>
  <c r="K6" i="29"/>
  <c r="K7" i="29"/>
  <c r="K8" i="29"/>
  <c r="K9" i="29"/>
  <c r="K10" i="29"/>
  <c r="K11" i="29"/>
  <c r="K12" i="29"/>
  <c r="K13" i="29"/>
  <c r="K14" i="29"/>
  <c r="K15" i="29"/>
  <c r="K16" i="29"/>
  <c r="K17" i="29"/>
  <c r="K18" i="29"/>
  <c r="K19" i="29"/>
  <c r="K20" i="29"/>
  <c r="K21" i="29"/>
  <c r="J6" i="29"/>
  <c r="J7" i="29"/>
  <c r="J8" i="29"/>
  <c r="J9" i="29"/>
  <c r="J10" i="29"/>
  <c r="J11" i="29"/>
  <c r="J12" i="29"/>
  <c r="J13" i="29"/>
  <c r="J14" i="29"/>
  <c r="J15" i="29"/>
  <c r="J16" i="29"/>
  <c r="J17" i="29"/>
  <c r="J18" i="29"/>
  <c r="J19" i="29"/>
  <c r="J20" i="29"/>
  <c r="J21" i="29"/>
  <c r="K5" i="29"/>
  <c r="J5" i="29"/>
  <c r="K23" i="29" l="1"/>
  <c r="O30" i="27" l="1"/>
  <c r="E23" i="29" l="1"/>
  <c r="AH21" i="29"/>
  <c r="R21" i="29"/>
  <c r="Q21" i="29"/>
  <c r="P21" i="29"/>
  <c r="O21" i="29"/>
  <c r="H21" i="29"/>
  <c r="AH20" i="29"/>
  <c r="R20" i="29"/>
  <c r="Q20" i="29"/>
  <c r="P20" i="29"/>
  <c r="O20" i="29"/>
  <c r="H20" i="29"/>
  <c r="AE20" i="29" s="1"/>
  <c r="AH19" i="29"/>
  <c r="R19" i="29"/>
  <c r="Q19" i="29"/>
  <c r="P19" i="29"/>
  <c r="O19" i="29"/>
  <c r="H19" i="29"/>
  <c r="AH18" i="29"/>
  <c r="R18" i="29"/>
  <c r="Q18" i="29"/>
  <c r="P18" i="29"/>
  <c r="O18" i="29"/>
  <c r="H18" i="29"/>
  <c r="AH17" i="29"/>
  <c r="R17" i="29"/>
  <c r="Q17" i="29"/>
  <c r="P17" i="29"/>
  <c r="O17" i="29"/>
  <c r="H17" i="29"/>
  <c r="AC17" i="29" s="1"/>
  <c r="AH16" i="29"/>
  <c r="R16" i="29"/>
  <c r="Q16" i="29"/>
  <c r="P16" i="29"/>
  <c r="O16" i="29"/>
  <c r="H16" i="29"/>
  <c r="AE16" i="29" s="1"/>
  <c r="AH15" i="29"/>
  <c r="R15" i="29"/>
  <c r="Q15" i="29"/>
  <c r="P15" i="29"/>
  <c r="O15" i="29"/>
  <c r="H15" i="29"/>
  <c r="Z15" i="29" s="1"/>
  <c r="AH14" i="29"/>
  <c r="R14" i="29"/>
  <c r="Q14" i="29"/>
  <c r="P14" i="29"/>
  <c r="O14" i="29"/>
  <c r="H14" i="29"/>
  <c r="AC14" i="29" s="1"/>
  <c r="AH13" i="29"/>
  <c r="R13" i="29"/>
  <c r="Q13" i="29"/>
  <c r="P13" i="29"/>
  <c r="O13" i="29"/>
  <c r="H13" i="29"/>
  <c r="AH12" i="29"/>
  <c r="R12" i="29"/>
  <c r="Q12" i="29"/>
  <c r="P12" i="29"/>
  <c r="O12" i="29"/>
  <c r="H12" i="29"/>
  <c r="Z12" i="29" s="1"/>
  <c r="AH11" i="29"/>
  <c r="R11" i="29"/>
  <c r="Q11" i="29"/>
  <c r="P11" i="29"/>
  <c r="O11" i="29"/>
  <c r="H11" i="29"/>
  <c r="AC11" i="29" s="1"/>
  <c r="AH10" i="29"/>
  <c r="R10" i="29"/>
  <c r="Q10" i="29"/>
  <c r="P10" i="29"/>
  <c r="O10" i="29"/>
  <c r="H10" i="29"/>
  <c r="AH9" i="29"/>
  <c r="R9" i="29"/>
  <c r="Q9" i="29"/>
  <c r="P9" i="29"/>
  <c r="O9" i="29"/>
  <c r="H9" i="29"/>
  <c r="Z9" i="29" s="1"/>
  <c r="AH8" i="29"/>
  <c r="R8" i="29"/>
  <c r="Q8" i="29"/>
  <c r="P8" i="29"/>
  <c r="O8" i="29"/>
  <c r="H8" i="29"/>
  <c r="AC8" i="29" s="1"/>
  <c r="AH7" i="29"/>
  <c r="R7" i="29"/>
  <c r="Q7" i="29"/>
  <c r="P7" i="29"/>
  <c r="O7" i="29"/>
  <c r="H7" i="29"/>
  <c r="AH6" i="29"/>
  <c r="R6" i="29"/>
  <c r="Q6" i="29"/>
  <c r="P6" i="29"/>
  <c r="O6" i="29"/>
  <c r="H6" i="29"/>
  <c r="AH5" i="29"/>
  <c r="R5" i="29"/>
  <c r="Q5" i="29"/>
  <c r="P5" i="29"/>
  <c r="O5" i="29"/>
  <c r="H5" i="29"/>
  <c r="AJ5" i="29" s="1"/>
  <c r="AK14" i="29" l="1"/>
  <c r="AK17" i="29"/>
  <c r="AD14" i="29"/>
  <c r="Y5" i="29"/>
  <c r="AE10" i="29"/>
  <c r="AK10" i="29"/>
  <c r="AJ10" i="29"/>
  <c r="Z5" i="29"/>
  <c r="O23" i="29"/>
  <c r="O25" i="29" s="1"/>
  <c r="AC5" i="29"/>
  <c r="AE11" i="29"/>
  <c r="X14" i="29"/>
  <c r="AK5" i="29"/>
  <c r="AK11" i="29"/>
  <c r="AE17" i="29"/>
  <c r="Y9" i="29"/>
  <c r="X10" i="29"/>
  <c r="AD10" i="29"/>
  <c r="AE5" i="29"/>
  <c r="S5" i="29"/>
  <c r="U5" i="29" s="1"/>
  <c r="AA5" i="29" s="1"/>
  <c r="AF5" i="29"/>
  <c r="AK16" i="29"/>
  <c r="X16" i="29"/>
  <c r="Y16" i="29"/>
  <c r="X20" i="29"/>
  <c r="AD16" i="29"/>
  <c r="AD20" i="29"/>
  <c r="AK6" i="29"/>
  <c r="AE6" i="29"/>
  <c r="Y6" i="29"/>
  <c r="S6" i="29"/>
  <c r="AD6" i="29"/>
  <c r="AJ6" i="29"/>
  <c r="AC6" i="29"/>
  <c r="X6" i="29"/>
  <c r="AF6" i="29"/>
  <c r="Z6" i="29"/>
  <c r="AF13" i="29"/>
  <c r="Z13" i="29"/>
  <c r="AK13" i="29"/>
  <c r="AD13" i="29"/>
  <c r="AJ13" i="29"/>
  <c r="AC13" i="29"/>
  <c r="AE13" i="29"/>
  <c r="Y13" i="29"/>
  <c r="X13" i="29"/>
  <c r="S13" i="29"/>
  <c r="AF7" i="29"/>
  <c r="Z7" i="29"/>
  <c r="AJ7" i="29"/>
  <c r="AC7" i="29"/>
  <c r="S7" i="29"/>
  <c r="AD7" i="29"/>
  <c r="Y7" i="29"/>
  <c r="AK7" i="29"/>
  <c r="X7" i="29"/>
  <c r="AE7" i="29"/>
  <c r="AE8" i="29"/>
  <c r="Z8" i="29"/>
  <c r="S8" i="29"/>
  <c r="AF8" i="29"/>
  <c r="Y8" i="29"/>
  <c r="X8" i="29"/>
  <c r="AD8" i="29"/>
  <c r="AF19" i="29"/>
  <c r="Z19" i="29"/>
  <c r="AC19" i="29"/>
  <c r="AE19" i="29"/>
  <c r="X19" i="29"/>
  <c r="AK19" i="29"/>
  <c r="AD19" i="29"/>
  <c r="AJ19" i="29"/>
  <c r="Z21" i="29"/>
  <c r="S21" i="29"/>
  <c r="AF21" i="29"/>
  <c r="Y21" i="29"/>
  <c r="AK21" i="29"/>
  <c r="AE21" i="29"/>
  <c r="X21" i="29"/>
  <c r="AJ21" i="29"/>
  <c r="AD21" i="29"/>
  <c r="AG5" i="29"/>
  <c r="S19" i="29"/>
  <c r="AH23" i="29"/>
  <c r="AK9" i="29"/>
  <c r="AE9" i="29"/>
  <c r="X9" i="29"/>
  <c r="AJ9" i="29"/>
  <c r="AD9" i="29"/>
  <c r="AC9" i="29"/>
  <c r="AF9" i="29"/>
  <c r="Y14" i="29"/>
  <c r="Z14" i="29"/>
  <c r="S14" i="29"/>
  <c r="AF14" i="29"/>
  <c r="AE14" i="29"/>
  <c r="AJ15" i="29"/>
  <c r="AF15" i="29"/>
  <c r="Y15" i="29"/>
  <c r="AK15" i="29"/>
  <c r="AE15" i="29"/>
  <c r="X15" i="29"/>
  <c r="AD15" i="29"/>
  <c r="AC15" i="29"/>
  <c r="AK18" i="29"/>
  <c r="AE18" i="29"/>
  <c r="Y18" i="29"/>
  <c r="S18" i="29"/>
  <c r="Z18" i="29"/>
  <c r="AF18" i="29"/>
  <c r="X18" i="29"/>
  <c r="AD18" i="29"/>
  <c r="AJ18" i="29"/>
  <c r="AC18" i="29"/>
  <c r="Y19" i="29"/>
  <c r="J23" i="29"/>
  <c r="AJ8" i="29"/>
  <c r="S9" i="29"/>
  <c r="S15" i="29"/>
  <c r="AC16" i="29"/>
  <c r="S16" i="29"/>
  <c r="AJ16" i="29"/>
  <c r="Z16" i="29"/>
  <c r="AF16" i="29"/>
  <c r="Z20" i="29"/>
  <c r="AJ20" i="29"/>
  <c r="AC20" i="29"/>
  <c r="S20" i="29"/>
  <c r="AF20" i="29"/>
  <c r="Y20" i="29"/>
  <c r="AK20" i="29"/>
  <c r="N23" i="29"/>
  <c r="AK8" i="29"/>
  <c r="AK12" i="29"/>
  <c r="AE12" i="29"/>
  <c r="Y12" i="29"/>
  <c r="S12" i="29"/>
  <c r="AJ12" i="29"/>
  <c r="AF12" i="29"/>
  <c r="X12" i="29"/>
  <c r="AD12" i="29"/>
  <c r="AC12" i="29"/>
  <c r="AJ14" i="29"/>
  <c r="AC21" i="29"/>
  <c r="P23" i="29"/>
  <c r="AF10" i="29"/>
  <c r="AJ17" i="29"/>
  <c r="AD17" i="29"/>
  <c r="X17" i="29"/>
  <c r="Y17" i="29"/>
  <c r="AF17" i="29"/>
  <c r="Q23" i="29"/>
  <c r="S10" i="29"/>
  <c r="Z10" i="29"/>
  <c r="AJ11" i="29"/>
  <c r="AD11" i="29"/>
  <c r="X11" i="29"/>
  <c r="Y11" i="29"/>
  <c r="AF11" i="29"/>
  <c r="S17" i="29"/>
  <c r="Z17" i="29"/>
  <c r="R23" i="29"/>
  <c r="S11" i="29"/>
  <c r="Z11" i="29"/>
  <c r="AC10" i="29"/>
  <c r="Y10" i="29"/>
  <c r="X5" i="29"/>
  <c r="AD5" i="29"/>
  <c r="AI5" i="29" l="1"/>
  <c r="AB5" i="29"/>
  <c r="T5" i="29"/>
  <c r="V5" i="29" s="1"/>
  <c r="AK23" i="29"/>
  <c r="AJ23" i="29"/>
  <c r="Z23" i="29"/>
  <c r="AF23" i="29"/>
  <c r="S23" i="29"/>
  <c r="AE23" i="29"/>
  <c r="T12" i="29"/>
  <c r="AI12" i="29"/>
  <c r="U12" i="29"/>
  <c r="U14" i="29"/>
  <c r="AI14" i="29"/>
  <c r="T14" i="29"/>
  <c r="U20" i="29"/>
  <c r="AI20" i="29"/>
  <c r="T20" i="29"/>
  <c r="U18" i="29"/>
  <c r="T18" i="29"/>
  <c r="AI18" i="29"/>
  <c r="U11" i="29"/>
  <c r="T11" i="29"/>
  <c r="AI11" i="29"/>
  <c r="W5" i="29"/>
  <c r="T13" i="29"/>
  <c r="AI13" i="29"/>
  <c r="U13" i="29"/>
  <c r="U15" i="29"/>
  <c r="T15" i="29"/>
  <c r="AI15" i="29"/>
  <c r="U21" i="29"/>
  <c r="T21" i="29"/>
  <c r="AI21" i="29"/>
  <c r="U6" i="29"/>
  <c r="AI6" i="29"/>
  <c r="T6" i="29"/>
  <c r="AI16" i="29"/>
  <c r="U16" i="29"/>
  <c r="T16" i="29"/>
  <c r="T19" i="29"/>
  <c r="AI19" i="29"/>
  <c r="U19" i="29"/>
  <c r="AI10" i="29"/>
  <c r="T10" i="29"/>
  <c r="U10" i="29"/>
  <c r="T7" i="29"/>
  <c r="AI7" i="29"/>
  <c r="U7" i="29"/>
  <c r="T17" i="29"/>
  <c r="AI17" i="29"/>
  <c r="U17" i="29"/>
  <c r="U8" i="29"/>
  <c r="AI8" i="29"/>
  <c r="T8" i="29"/>
  <c r="U9" i="29"/>
  <c r="AI9" i="29"/>
  <c r="T9" i="29"/>
  <c r="Y23" i="29" l="1"/>
  <c r="AC23" i="29"/>
  <c r="AI23" i="29"/>
  <c r="T23" i="29"/>
  <c r="V9" i="29"/>
  <c r="W9" i="29"/>
  <c r="V17" i="29"/>
  <c r="W17" i="29"/>
  <c r="AG19" i="29"/>
  <c r="AA19" i="29"/>
  <c r="AB19" i="29"/>
  <c r="AA21" i="29"/>
  <c r="AG21" i="29"/>
  <c r="AB21" i="29"/>
  <c r="V8" i="29"/>
  <c r="W8" i="29"/>
  <c r="V18" i="29"/>
  <c r="W18" i="29"/>
  <c r="AA9" i="29"/>
  <c r="AB9" i="29"/>
  <c r="AG9" i="29"/>
  <c r="AB10" i="29"/>
  <c r="AA10" i="29"/>
  <c r="AG10" i="29"/>
  <c r="W19" i="29"/>
  <c r="V19" i="29"/>
  <c r="AG13" i="29"/>
  <c r="AA13" i="29"/>
  <c r="AB13" i="29"/>
  <c r="AB18" i="29"/>
  <c r="AA18" i="29"/>
  <c r="AG18" i="29"/>
  <c r="V12" i="29"/>
  <c r="W12" i="29"/>
  <c r="AG16" i="29"/>
  <c r="AB16" i="29"/>
  <c r="AA16" i="29"/>
  <c r="AG14" i="29"/>
  <c r="AA14" i="29"/>
  <c r="AB14" i="29"/>
  <c r="AB12" i="29"/>
  <c r="AA12" i="29"/>
  <c r="AG12" i="29"/>
  <c r="AB8" i="29"/>
  <c r="AG8" i="29"/>
  <c r="AA8" i="29"/>
  <c r="W7" i="29"/>
  <c r="V7" i="29"/>
  <c r="V10" i="29"/>
  <c r="W10" i="29"/>
  <c r="AA6" i="29"/>
  <c r="U23" i="29"/>
  <c r="AB6" i="29"/>
  <c r="AG6" i="29"/>
  <c r="V15" i="29"/>
  <c r="W15" i="29"/>
  <c r="W11" i="29"/>
  <c r="V11" i="29"/>
  <c r="W20" i="29"/>
  <c r="V20" i="29"/>
  <c r="V14" i="29"/>
  <c r="W14" i="29"/>
  <c r="V21" i="29"/>
  <c r="W21" i="29"/>
  <c r="AG20" i="29"/>
  <c r="AB20" i="29"/>
  <c r="AA20" i="29"/>
  <c r="AA7" i="29"/>
  <c r="AB7" i="29"/>
  <c r="AG7" i="29"/>
  <c r="W6" i="29"/>
  <c r="V6" i="29"/>
  <c r="AB17" i="29"/>
  <c r="AA17" i="29"/>
  <c r="AG17" i="29"/>
  <c r="W16" i="29"/>
  <c r="V16" i="29"/>
  <c r="AA15" i="29"/>
  <c r="AB15" i="29"/>
  <c r="AG15" i="29"/>
  <c r="W13" i="29"/>
  <c r="V13" i="29"/>
  <c r="AB11" i="29"/>
  <c r="AA11" i="29"/>
  <c r="AG11" i="29"/>
  <c r="X23" i="29" l="1"/>
  <c r="AD23" i="29"/>
  <c r="V23" i="29"/>
  <c r="W23" i="29"/>
  <c r="AG23" i="29"/>
  <c r="V30" i="29" s="1"/>
  <c r="V36" i="29" s="1"/>
  <c r="AB23" i="29"/>
  <c r="AA23" i="29"/>
  <c r="V28" i="29" l="1"/>
  <c r="V34" i="29" s="1"/>
  <c r="V38" i="29"/>
  <c r="V32" i="29" l="1"/>
  <c r="D23" i="26" l="1"/>
  <c r="D36" i="26"/>
  <c r="D49" i="26"/>
  <c r="D87" i="24" l="1"/>
  <c r="D86" i="24" s="1"/>
  <c r="L6" i="27" l="1"/>
  <c r="L7" i="27"/>
  <c r="L8" i="27"/>
  <c r="L9" i="27"/>
  <c r="L10" i="27"/>
  <c r="L11" i="27"/>
  <c r="L12" i="27"/>
  <c r="L13" i="27"/>
  <c r="L14" i="27"/>
  <c r="L15" i="27"/>
  <c r="L16" i="27"/>
  <c r="L17" i="27"/>
  <c r="L18" i="27"/>
  <c r="L19" i="27"/>
  <c r="L20" i="27"/>
  <c r="L21" i="27"/>
  <c r="L22" i="27"/>
  <c r="L23" i="27"/>
  <c r="L24" i="27"/>
  <c r="L25" i="27"/>
  <c r="L26" i="27"/>
  <c r="L27" i="27"/>
  <c r="L28" i="27"/>
  <c r="L5" i="27"/>
  <c r="H8" i="27"/>
  <c r="J8" i="27" s="1"/>
  <c r="H6" i="27"/>
  <c r="J6" i="27" s="1"/>
  <c r="H7" i="27"/>
  <c r="J7" i="27" s="1"/>
  <c r="H9" i="27"/>
  <c r="H10" i="27"/>
  <c r="J10" i="27" s="1"/>
  <c r="H11" i="27"/>
  <c r="J11" i="27" s="1"/>
  <c r="H12" i="27"/>
  <c r="J12" i="27" s="1"/>
  <c r="H13" i="27"/>
  <c r="J13" i="27" s="1"/>
  <c r="H14" i="27"/>
  <c r="J14" i="27" s="1"/>
  <c r="H15" i="27"/>
  <c r="J15" i="27" s="1"/>
  <c r="H16" i="27"/>
  <c r="J16" i="27" s="1"/>
  <c r="H17" i="27"/>
  <c r="J17" i="27" s="1"/>
  <c r="H18" i="27"/>
  <c r="J18" i="27" s="1"/>
  <c r="H19" i="27"/>
  <c r="J19" i="27" s="1"/>
  <c r="H20" i="27"/>
  <c r="J20" i="27" s="1"/>
  <c r="H21" i="27"/>
  <c r="J21" i="27" s="1"/>
  <c r="H22" i="27"/>
  <c r="J22" i="27" s="1"/>
  <c r="H23" i="27"/>
  <c r="J23" i="27" s="1"/>
  <c r="H24" i="27"/>
  <c r="D6" i="27"/>
  <c r="D7" i="27"/>
  <c r="D8" i="27"/>
  <c r="D9" i="27"/>
  <c r="D10" i="27"/>
  <c r="D11" i="27"/>
  <c r="D12" i="27"/>
  <c r="D13" i="27"/>
  <c r="D14" i="27"/>
  <c r="D15" i="27"/>
  <c r="D16" i="27"/>
  <c r="D17" i="27"/>
  <c r="D18" i="27"/>
  <c r="D19" i="27"/>
  <c r="D20" i="27"/>
  <c r="D21" i="27"/>
  <c r="D22" i="27"/>
  <c r="D23" i="27"/>
  <c r="C6" i="27"/>
  <c r="C7" i="27"/>
  <c r="C8" i="27"/>
  <c r="C9" i="27"/>
  <c r="C10" i="27"/>
  <c r="C11" i="27"/>
  <c r="C12" i="27"/>
  <c r="C13" i="27"/>
  <c r="C14" i="27"/>
  <c r="C15" i="27"/>
  <c r="C16" i="27"/>
  <c r="C17" i="27"/>
  <c r="C18" i="27"/>
  <c r="C19" i="27"/>
  <c r="C20" i="27"/>
  <c r="C21" i="27"/>
  <c r="C22" i="27"/>
  <c r="C23" i="27"/>
  <c r="C24" i="27"/>
  <c r="G30" i="27"/>
  <c r="AI28" i="27"/>
  <c r="S28" i="27"/>
  <c r="R28" i="27"/>
  <c r="Q28" i="27"/>
  <c r="P28" i="27"/>
  <c r="H28" i="27"/>
  <c r="J28" i="27" s="1"/>
  <c r="D28" i="27"/>
  <c r="C28" i="27"/>
  <c r="AI27" i="27"/>
  <c r="S27" i="27"/>
  <c r="R27" i="27"/>
  <c r="Q27" i="27"/>
  <c r="P27" i="27"/>
  <c r="H27" i="27"/>
  <c r="J27" i="27" s="1"/>
  <c r="D27" i="27"/>
  <c r="C27" i="27"/>
  <c r="AI26" i="27"/>
  <c r="S26" i="27"/>
  <c r="R26" i="27"/>
  <c r="Q26" i="27"/>
  <c r="P26" i="27"/>
  <c r="H26" i="27"/>
  <c r="J26" i="27" s="1"/>
  <c r="D26" i="27"/>
  <c r="C26" i="27"/>
  <c r="AI25" i="27"/>
  <c r="S25" i="27"/>
  <c r="R25" i="27"/>
  <c r="Q25" i="27"/>
  <c r="P25" i="27"/>
  <c r="H25" i="27"/>
  <c r="J25" i="27" s="1"/>
  <c r="D25" i="27"/>
  <c r="C25" i="27"/>
  <c r="AI24" i="27"/>
  <c r="S24" i="27"/>
  <c r="R24" i="27"/>
  <c r="Q24" i="27"/>
  <c r="P24" i="27"/>
  <c r="J24" i="27"/>
  <c r="D24" i="27"/>
  <c r="AI23" i="27"/>
  <c r="S23" i="27"/>
  <c r="R23" i="27"/>
  <c r="Q23" i="27"/>
  <c r="P23" i="27"/>
  <c r="AI22" i="27"/>
  <c r="S22" i="27"/>
  <c r="R22" i="27"/>
  <c r="Q22" i="27"/>
  <c r="P22" i="27"/>
  <c r="AI21" i="27"/>
  <c r="S21" i="27"/>
  <c r="R21" i="27"/>
  <c r="Q21" i="27"/>
  <c r="P21" i="27"/>
  <c r="AI20" i="27"/>
  <c r="S20" i="27"/>
  <c r="R20" i="27"/>
  <c r="Q20" i="27"/>
  <c r="P20" i="27"/>
  <c r="AI19" i="27"/>
  <c r="S19" i="27"/>
  <c r="R19" i="27"/>
  <c r="Q19" i="27"/>
  <c r="P19" i="27"/>
  <c r="AI18" i="27"/>
  <c r="S18" i="27"/>
  <c r="R18" i="27"/>
  <c r="Q18" i="27"/>
  <c r="P18" i="27"/>
  <c r="AI17" i="27"/>
  <c r="S17" i="27"/>
  <c r="R17" i="27"/>
  <c r="Q17" i="27"/>
  <c r="P17" i="27"/>
  <c r="AI16" i="27"/>
  <c r="S16" i="27"/>
  <c r="R16" i="27"/>
  <c r="Q16" i="27"/>
  <c r="P16" i="27"/>
  <c r="AI15" i="27"/>
  <c r="S15" i="27"/>
  <c r="R15" i="27"/>
  <c r="Q15" i="27"/>
  <c r="P15" i="27"/>
  <c r="AI14" i="27"/>
  <c r="S14" i="27"/>
  <c r="R14" i="27"/>
  <c r="Q14" i="27"/>
  <c r="P14" i="27"/>
  <c r="AI13" i="27"/>
  <c r="S13" i="27"/>
  <c r="R13" i="27"/>
  <c r="Q13" i="27"/>
  <c r="P13" i="27"/>
  <c r="AI12" i="27"/>
  <c r="S12" i="27"/>
  <c r="R12" i="27"/>
  <c r="Q12" i="27"/>
  <c r="P12" i="27"/>
  <c r="AI11" i="27"/>
  <c r="S11" i="27"/>
  <c r="R11" i="27"/>
  <c r="Q11" i="27"/>
  <c r="P11" i="27"/>
  <c r="AI10" i="27"/>
  <c r="S10" i="27"/>
  <c r="R10" i="27"/>
  <c r="Q10" i="27"/>
  <c r="P10" i="27"/>
  <c r="AI9" i="27"/>
  <c r="S9" i="27"/>
  <c r="R9" i="27"/>
  <c r="Q9" i="27"/>
  <c r="P9" i="27"/>
  <c r="J9" i="27"/>
  <c r="AI8" i="27"/>
  <c r="S8" i="27"/>
  <c r="R8" i="27"/>
  <c r="Q8" i="27"/>
  <c r="P8" i="27"/>
  <c r="AI7" i="27"/>
  <c r="S7" i="27"/>
  <c r="R7" i="27"/>
  <c r="Q7" i="27"/>
  <c r="P7" i="27"/>
  <c r="AI6" i="27"/>
  <c r="S6" i="27"/>
  <c r="R6" i="27"/>
  <c r="Q6" i="27"/>
  <c r="P6" i="27"/>
  <c r="AI5" i="27"/>
  <c r="S5" i="27"/>
  <c r="R5" i="27"/>
  <c r="Q5" i="27"/>
  <c r="P5" i="27"/>
  <c r="J5" i="27"/>
  <c r="D30" i="26"/>
  <c r="I62" i="15"/>
  <c r="I63" i="15"/>
  <c r="I64" i="15"/>
  <c r="AG23" i="27" l="1"/>
  <c r="AL22" i="27"/>
  <c r="T16" i="27"/>
  <c r="AF10" i="27"/>
  <c r="AG21" i="27"/>
  <c r="AA15" i="27"/>
  <c r="AL28" i="27"/>
  <c r="AF14" i="27"/>
  <c r="AF19" i="27"/>
  <c r="AK13" i="27"/>
  <c r="AL6" i="27"/>
  <c r="AG11" i="27"/>
  <c r="AL5" i="27"/>
  <c r="AK26" i="27"/>
  <c r="AL12" i="27"/>
  <c r="AK8" i="27"/>
  <c r="AF28" i="27"/>
  <c r="AG28" i="27"/>
  <c r="T28" i="27"/>
  <c r="AJ28" i="27" s="1"/>
  <c r="T27" i="27"/>
  <c r="AJ27" i="27" s="1"/>
  <c r="AF16" i="27"/>
  <c r="T11" i="27"/>
  <c r="U11" i="27" s="1"/>
  <c r="W11" i="27" s="1"/>
  <c r="AA10" i="27"/>
  <c r="AF11" i="27"/>
  <c r="AG6" i="27"/>
  <c r="AG5" i="27"/>
  <c r="AF6" i="27"/>
  <c r="AA22" i="27"/>
  <c r="AF22" i="27"/>
  <c r="T14" i="27"/>
  <c r="AJ14" i="27" s="1"/>
  <c r="AL14" i="27"/>
  <c r="AA23" i="27"/>
  <c r="Y5" i="27"/>
  <c r="AK5" i="27"/>
  <c r="AA5" i="27"/>
  <c r="AD5" i="27"/>
  <c r="AE5" i="27"/>
  <c r="L30" i="27"/>
  <c r="AG7" i="27"/>
  <c r="AA7" i="27"/>
  <c r="AF7" i="27"/>
  <c r="AK7" i="27"/>
  <c r="AL7" i="27"/>
  <c r="T7" i="27"/>
  <c r="AJ16" i="27"/>
  <c r="U16" i="27"/>
  <c r="Z16" i="27" s="1"/>
  <c r="V16" i="27"/>
  <c r="AC16" i="27" s="1"/>
  <c r="AF20" i="27"/>
  <c r="AG20" i="27"/>
  <c r="T20" i="27"/>
  <c r="AA20" i="27"/>
  <c r="AL20" i="27"/>
  <c r="AK20" i="27"/>
  <c r="AG9" i="27"/>
  <c r="AA9" i="27"/>
  <c r="T9" i="27"/>
  <c r="AF9" i="27"/>
  <c r="AL9" i="27"/>
  <c r="AK9" i="27"/>
  <c r="AG24" i="27"/>
  <c r="AA24" i="27"/>
  <c r="AL24" i="27"/>
  <c r="AF24" i="27"/>
  <c r="T24" i="27"/>
  <c r="AK24" i="27"/>
  <c r="AG25" i="27"/>
  <c r="AA25" i="27"/>
  <c r="T25" i="27"/>
  <c r="AL25" i="27"/>
  <c r="T12" i="27"/>
  <c r="AF21" i="27"/>
  <c r="T26" i="27"/>
  <c r="R30" i="27"/>
  <c r="AA6" i="27"/>
  <c r="AG10" i="27"/>
  <c r="T10" i="27"/>
  <c r="AK11" i="27"/>
  <c r="AA11" i="27"/>
  <c r="AA17" i="27"/>
  <c r="AG19" i="27"/>
  <c r="AA19" i="27"/>
  <c r="AL19" i="27"/>
  <c r="AK19" i="27"/>
  <c r="T21" i="27"/>
  <c r="AK25" i="27"/>
  <c r="AK12" i="27"/>
  <c r="AA12" i="27"/>
  <c r="AG26" i="27"/>
  <c r="AF26" i="27"/>
  <c r="Q30" i="27"/>
  <c r="AG8" i="27"/>
  <c r="AK16" i="27"/>
  <c r="Y16" i="27"/>
  <c r="AD16" i="27"/>
  <c r="AG27" i="27"/>
  <c r="AI30" i="27"/>
  <c r="T6" i="27"/>
  <c r="AA8" i="27"/>
  <c r="AK10" i="27"/>
  <c r="AL11" i="27"/>
  <c r="AF12" i="27"/>
  <c r="AG13" i="27"/>
  <c r="AL15" i="27"/>
  <c r="AF15" i="27"/>
  <c r="AG15" i="27"/>
  <c r="AK15" i="27"/>
  <c r="AL16" i="27"/>
  <c r="AG18" i="27"/>
  <c r="AA18" i="27"/>
  <c r="AL18" i="27"/>
  <c r="AF18" i="27"/>
  <c r="T18" i="27"/>
  <c r="AK18" i="27"/>
  <c r="T19" i="27"/>
  <c r="AK21" i="27"/>
  <c r="AA26" i="27"/>
  <c r="AL26" i="27"/>
  <c r="AK27" i="27"/>
  <c r="AL17" i="27"/>
  <c r="AF17" i="27"/>
  <c r="T17" i="27"/>
  <c r="AK17" i="27"/>
  <c r="AG17" i="27"/>
  <c r="AG16" i="27"/>
  <c r="AF27" i="27"/>
  <c r="S30" i="27"/>
  <c r="AK6" i="27"/>
  <c r="AL10" i="27"/>
  <c r="AG12" i="27"/>
  <c r="AA14" i="27"/>
  <c r="AG14" i="27"/>
  <c r="AK14" i="27"/>
  <c r="T15" i="27"/>
  <c r="AA16" i="27"/>
  <c r="AA21" i="27"/>
  <c r="AL21" i="27"/>
  <c r="AA27" i="27"/>
  <c r="AL27" i="27"/>
  <c r="AL8" i="27"/>
  <c r="AF8" i="27"/>
  <c r="T8" i="27"/>
  <c r="AL13" i="27"/>
  <c r="AF13" i="27"/>
  <c r="T13" i="27"/>
  <c r="AA13" i="27"/>
  <c r="AF25" i="27"/>
  <c r="AK22" i="27"/>
  <c r="AG22" i="27"/>
  <c r="P30" i="27"/>
  <c r="P32" i="27" s="1"/>
  <c r="T22" i="27"/>
  <c r="T5" i="27"/>
  <c r="Z5" i="27"/>
  <c r="AF5" i="27"/>
  <c r="AL23" i="27"/>
  <c r="AF23" i="27"/>
  <c r="T23" i="27"/>
  <c r="AK23" i="27"/>
  <c r="AK28" i="27"/>
  <c r="AE28" i="27"/>
  <c r="Y28" i="27"/>
  <c r="AD28" i="27"/>
  <c r="AA28" i="27"/>
  <c r="W16" i="27" l="1"/>
  <c r="X11" i="27"/>
  <c r="AB16" i="27"/>
  <c r="X16" i="27"/>
  <c r="U27" i="27"/>
  <c r="V27" i="27"/>
  <c r="V28" i="27"/>
  <c r="U28" i="27"/>
  <c r="AD27" i="27"/>
  <c r="Z27" i="27"/>
  <c r="AJ11" i="27"/>
  <c r="V11" i="27"/>
  <c r="AE16" i="27"/>
  <c r="AL30" i="27"/>
  <c r="AK30" i="27"/>
  <c r="U14" i="27"/>
  <c r="V14" i="27"/>
  <c r="AG30" i="27"/>
  <c r="AA30" i="27"/>
  <c r="U15" i="27"/>
  <c r="V15" i="27"/>
  <c r="AJ15" i="27"/>
  <c r="AJ21" i="27"/>
  <c r="V21" i="27"/>
  <c r="U21" i="27"/>
  <c r="U12" i="27"/>
  <c r="V12" i="27"/>
  <c r="AJ12" i="27"/>
  <c r="AJ23" i="27"/>
  <c r="U23" i="27"/>
  <c r="V23" i="27"/>
  <c r="AJ13" i="27"/>
  <c r="V13" i="27"/>
  <c r="U13" i="27"/>
  <c r="V6" i="27"/>
  <c r="U6" i="27"/>
  <c r="AJ6" i="27"/>
  <c r="AD11" i="27"/>
  <c r="V26" i="27"/>
  <c r="U26" i="27"/>
  <c r="AJ26" i="27"/>
  <c r="U24" i="27"/>
  <c r="AJ24" i="27"/>
  <c r="V24" i="27"/>
  <c r="U9" i="27"/>
  <c r="V9" i="27"/>
  <c r="AJ9" i="27"/>
  <c r="T30" i="27"/>
  <c r="V5" i="27"/>
  <c r="AJ5" i="27"/>
  <c r="U5" i="27"/>
  <c r="AH16" i="27"/>
  <c r="Y11" i="27"/>
  <c r="Z11" i="27"/>
  <c r="V17" i="27"/>
  <c r="U17" i="27"/>
  <c r="AJ17" i="27"/>
  <c r="AF30" i="27"/>
  <c r="AJ22" i="27"/>
  <c r="V22" i="27"/>
  <c r="U22" i="27"/>
  <c r="AJ8" i="27"/>
  <c r="V8" i="27"/>
  <c r="U8" i="27"/>
  <c r="U18" i="27"/>
  <c r="V18" i="27"/>
  <c r="AJ18" i="27"/>
  <c r="V10" i="27"/>
  <c r="U10" i="27"/>
  <c r="AJ10" i="27"/>
  <c r="V25" i="27"/>
  <c r="U25" i="27"/>
  <c r="AJ25" i="27"/>
  <c r="AJ7" i="27"/>
  <c r="U7" i="27"/>
  <c r="V7" i="27"/>
  <c r="AE11" i="27"/>
  <c r="V19" i="27"/>
  <c r="U19" i="27"/>
  <c r="AJ19" i="27"/>
  <c r="V20" i="27"/>
  <c r="U20" i="27"/>
  <c r="AJ20" i="27"/>
  <c r="AB19" i="27" l="1"/>
  <c r="AC19" i="27"/>
  <c r="AC22" i="27"/>
  <c r="AB22" i="27"/>
  <c r="AB6" i="27"/>
  <c r="AC6" i="27"/>
  <c r="AB14" i="27"/>
  <c r="AC14" i="27"/>
  <c r="Y27" i="27"/>
  <c r="W27" i="27"/>
  <c r="X27" i="27"/>
  <c r="W24" i="27"/>
  <c r="X24" i="27"/>
  <c r="W23" i="27"/>
  <c r="X23" i="27"/>
  <c r="AE27" i="27"/>
  <c r="AB27" i="27"/>
  <c r="AC27" i="27"/>
  <c r="AB9" i="27"/>
  <c r="AC9" i="27"/>
  <c r="W13" i="27"/>
  <c r="X13" i="27"/>
  <c r="W14" i="27"/>
  <c r="X14" i="27"/>
  <c r="AB18" i="27"/>
  <c r="AC18" i="27"/>
  <c r="W18" i="27"/>
  <c r="X18" i="27"/>
  <c r="X7" i="27"/>
  <c r="W7" i="27"/>
  <c r="X5" i="27"/>
  <c r="W5" i="27"/>
  <c r="X9" i="27"/>
  <c r="W9" i="27"/>
  <c r="AC26" i="27"/>
  <c r="AB26" i="27"/>
  <c r="AB13" i="27"/>
  <c r="AC13" i="27"/>
  <c r="AB12" i="27"/>
  <c r="AC12" i="27"/>
  <c r="AC15" i="27"/>
  <c r="AB15" i="27"/>
  <c r="X25" i="27"/>
  <c r="W25" i="27"/>
  <c r="W6" i="27"/>
  <c r="X6" i="27"/>
  <c r="AB11" i="27"/>
  <c r="AC11" i="27"/>
  <c r="AC25" i="27"/>
  <c r="AB25" i="27"/>
  <c r="W20" i="27"/>
  <c r="X20" i="27"/>
  <c r="AB20" i="27"/>
  <c r="AC20" i="27"/>
  <c r="AC24" i="27"/>
  <c r="AB24" i="27"/>
  <c r="W12" i="27"/>
  <c r="X12" i="27"/>
  <c r="W15" i="27"/>
  <c r="X15" i="27"/>
  <c r="W28" i="27"/>
  <c r="X28" i="27"/>
  <c r="AC21" i="27"/>
  <c r="AB21" i="27"/>
  <c r="AC7" i="27"/>
  <c r="AB7" i="27"/>
  <c r="W8" i="27"/>
  <c r="X8" i="27"/>
  <c r="X26" i="27"/>
  <c r="W26" i="27"/>
  <c r="X10" i="27"/>
  <c r="W10" i="27"/>
  <c r="AB8" i="27"/>
  <c r="AC8" i="27"/>
  <c r="AC10" i="27"/>
  <c r="AB10" i="27"/>
  <c r="X17" i="27"/>
  <c r="W17" i="27"/>
  <c r="X19" i="27"/>
  <c r="W19" i="27"/>
  <c r="W22" i="27"/>
  <c r="X22" i="27"/>
  <c r="AC17" i="27"/>
  <c r="AB17" i="27"/>
  <c r="AB5" i="27"/>
  <c r="AC5" i="27"/>
  <c r="AB23" i="27"/>
  <c r="AC23" i="27"/>
  <c r="X21" i="27"/>
  <c r="W21" i="27"/>
  <c r="AB28" i="27"/>
  <c r="AC28" i="27"/>
  <c r="AH27" i="27"/>
  <c r="AH28" i="27"/>
  <c r="Z28" i="27"/>
  <c r="AH11" i="27"/>
  <c r="Z14" i="27"/>
  <c r="Y14" i="27"/>
  <c r="AD14" i="27"/>
  <c r="AE14" i="27"/>
  <c r="AH14" i="27"/>
  <c r="U30" i="27"/>
  <c r="AD26" i="27"/>
  <c r="AE26" i="27"/>
  <c r="AH26" i="27"/>
  <c r="Y12" i="27"/>
  <c r="Z12" i="27"/>
  <c r="Z8" i="27"/>
  <c r="Y8" i="27"/>
  <c r="AD17" i="27"/>
  <c r="AE17" i="27"/>
  <c r="AH17" i="27"/>
  <c r="AH24" i="27"/>
  <c r="AE24" i="27"/>
  <c r="AD24" i="27"/>
  <c r="Z21" i="27"/>
  <c r="Y21" i="27"/>
  <c r="AE8" i="27"/>
  <c r="AH8" i="27"/>
  <c r="AD8" i="27"/>
  <c r="V30" i="27"/>
  <c r="AH5" i="27"/>
  <c r="AE21" i="27"/>
  <c r="AD21" i="27"/>
  <c r="AH21" i="27"/>
  <c r="AE25" i="27"/>
  <c r="AH25" i="27"/>
  <c r="AD25" i="27"/>
  <c r="Y18" i="27"/>
  <c r="Z18" i="27"/>
  <c r="Y24" i="27"/>
  <c r="Z24" i="27"/>
  <c r="Y6" i="27"/>
  <c r="Z6" i="27"/>
  <c r="AH10" i="27"/>
  <c r="AD10" i="27"/>
  <c r="AE10" i="27"/>
  <c r="AJ30" i="27"/>
  <c r="AH13" i="27"/>
  <c r="AE13" i="27"/>
  <c r="AD13" i="27"/>
  <c r="Y25" i="27"/>
  <c r="Z25" i="27"/>
  <c r="Y17" i="27"/>
  <c r="Z17" i="27"/>
  <c r="Z9" i="27"/>
  <c r="Y9" i="27"/>
  <c r="Z13" i="27"/>
  <c r="Y13" i="27"/>
  <c r="Z15" i="27"/>
  <c r="Y15" i="27"/>
  <c r="AD23" i="27"/>
  <c r="AH23" i="27"/>
  <c r="AE23" i="27"/>
  <c r="AH18" i="27"/>
  <c r="AD18" i="27"/>
  <c r="AE18" i="27"/>
  <c r="Y23" i="27"/>
  <c r="Z23" i="27"/>
  <c r="Y20" i="27"/>
  <c r="Z20" i="27"/>
  <c r="Y19" i="27"/>
  <c r="Z19" i="27"/>
  <c r="AD7" i="27"/>
  <c r="AE7" i="27"/>
  <c r="AH7" i="27"/>
  <c r="Z22" i="27"/>
  <c r="Y22" i="27"/>
  <c r="AH6" i="27"/>
  <c r="AE6" i="27"/>
  <c r="AD6" i="27"/>
  <c r="AH20" i="27"/>
  <c r="AD20" i="27"/>
  <c r="AE20" i="27"/>
  <c r="AD19" i="27"/>
  <c r="AH19" i="27"/>
  <c r="AE19" i="27"/>
  <c r="Y7" i="27"/>
  <c r="Z7" i="27"/>
  <c r="Y10" i="27"/>
  <c r="Z10" i="27"/>
  <c r="AH22" i="27"/>
  <c r="AD22" i="27"/>
  <c r="AE22" i="27"/>
  <c r="AD9" i="27"/>
  <c r="AE9" i="27"/>
  <c r="AH9" i="27"/>
  <c r="Y26" i="27"/>
  <c r="Z26" i="27"/>
  <c r="AE12" i="27"/>
  <c r="AD12" i="27"/>
  <c r="AH12" i="27"/>
  <c r="AE15" i="27"/>
  <c r="AH15" i="27"/>
  <c r="AD15" i="27"/>
  <c r="AB30" i="27" l="1"/>
  <c r="AC30" i="27"/>
  <c r="X30" i="27"/>
  <c r="W30" i="27"/>
  <c r="AH30" i="27"/>
  <c r="W36" i="27" s="1"/>
  <c r="W42" i="27" s="1"/>
  <c r="Z30" i="27"/>
  <c r="AE30" i="27"/>
  <c r="Y30" i="27"/>
  <c r="AD30" i="27"/>
  <c r="W34" i="27" l="1"/>
  <c r="W40" i="27" s="1"/>
  <c r="W44" i="27"/>
  <c r="W38" i="27" l="1"/>
  <c r="D66" i="26"/>
  <c r="D59" i="26" l="1"/>
  <c r="D55" i="26"/>
  <c r="D52" i="26"/>
  <c r="D62" i="26"/>
  <c r="D65" i="26"/>
  <c r="D64" i="26" s="1"/>
  <c r="D69" i="26"/>
  <c r="D56" i="26"/>
  <c r="D46" i="26"/>
  <c r="D43" i="26"/>
  <c r="D22" i="26"/>
  <c r="D34" i="26"/>
  <c r="D31" i="26"/>
  <c r="D47" i="26"/>
  <c r="D35" i="26"/>
  <c r="D27" i="26"/>
  <c r="D48" i="26"/>
  <c r="D26" i="26"/>
  <c r="D19" i="26" l="1"/>
  <c r="D18" i="26" s="1"/>
  <c r="D16" i="26"/>
  <c r="D15" i="26" s="1"/>
  <c r="D13" i="26"/>
  <c r="D12" i="26" s="1"/>
  <c r="D10" i="26"/>
  <c r="D9" i="26" s="1"/>
  <c r="D7" i="26"/>
  <c r="D6" i="26" s="1"/>
  <c r="D68" i="26"/>
  <c r="D61" i="26"/>
  <c r="D58" i="26"/>
  <c r="D54" i="26"/>
  <c r="D51" i="26"/>
  <c r="D45" i="26"/>
  <c r="D42" i="26"/>
  <c r="D38" i="26"/>
  <c r="D33" i="26"/>
  <c r="D29" i="26"/>
  <c r="D25" i="26"/>
  <c r="D21" i="26" l="1"/>
  <c r="D168" i="25"/>
  <c r="D167" i="25"/>
  <c r="D105" i="25" l="1"/>
  <c r="D46" i="25"/>
  <c r="D65" i="25"/>
  <c r="D67" i="25"/>
  <c r="D150" i="25"/>
  <c r="D149" i="25"/>
  <c r="D122" i="25"/>
  <c r="D93" i="25"/>
  <c r="D159" i="25"/>
  <c r="D158" i="25" s="1"/>
  <c r="D26" i="25"/>
  <c r="D7" i="25"/>
  <c r="D165" i="25" l="1"/>
  <c r="D164" i="25" s="1"/>
  <c r="D162" i="25"/>
  <c r="D161" i="25" s="1"/>
  <c r="D156" i="25"/>
  <c r="D155" i="25"/>
  <c r="D154" i="25"/>
  <c r="D153" i="25"/>
  <c r="D146" i="25"/>
  <c r="D145" i="25" s="1"/>
  <c r="D143" i="25"/>
  <c r="D142" i="25" s="1"/>
  <c r="D140" i="25"/>
  <c r="D51" i="25"/>
  <c r="D50" i="25"/>
  <c r="D49" i="25"/>
  <c r="D29" i="25"/>
  <c r="D42" i="25"/>
  <c r="D23" i="25"/>
  <c r="D15" i="25"/>
  <c r="D107" i="25"/>
  <c r="D136" i="25"/>
  <c r="D137" i="25"/>
  <c r="D22" i="25"/>
  <c r="D14" i="25"/>
  <c r="D135" i="25" l="1"/>
  <c r="D48" i="25"/>
  <c r="D106" i="25"/>
  <c r="D102" i="25"/>
  <c r="D104" i="25"/>
  <c r="D66" i="25"/>
  <c r="D64" i="25"/>
  <c r="D45" i="25"/>
  <c r="D41" i="25"/>
  <c r="D13" i="25"/>
  <c r="D21" i="25"/>
  <c r="D20" i="25"/>
  <c r="D12" i="25"/>
  <c r="D39" i="25"/>
  <c r="D103" i="25"/>
  <c r="D63" i="25"/>
  <c r="D62" i="25"/>
  <c r="D40" i="25"/>
  <c r="D127" i="25"/>
  <c r="D126" i="25"/>
  <c r="D125" i="25"/>
  <c r="D133" i="25"/>
  <c r="D113" i="25"/>
  <c r="D132" i="25"/>
  <c r="D130" i="25"/>
  <c r="D131" i="25"/>
  <c r="D111" i="25"/>
  <c r="D112" i="25"/>
  <c r="D119" i="25"/>
  <c r="D116" i="25"/>
  <c r="D110" i="25"/>
  <c r="D98" i="25"/>
  <c r="D97" i="25"/>
  <c r="D96" i="25"/>
  <c r="D99" i="25"/>
  <c r="D32" i="25"/>
  <c r="D91" i="25"/>
  <c r="D92" i="25"/>
  <c r="D61" i="25"/>
  <c r="D38" i="25"/>
  <c r="D56" i="25"/>
  <c r="D57" i="25"/>
  <c r="D58" i="25"/>
  <c r="D33" i="25"/>
  <c r="D35" i="25"/>
  <c r="D34" i="25"/>
  <c r="D109" i="25" l="1"/>
  <c r="D95" i="25"/>
  <c r="D90" i="25"/>
  <c r="D53" i="25"/>
  <c r="D44" i="25"/>
  <c r="D129" i="25"/>
  <c r="D19" i="25"/>
  <c r="D11" i="25"/>
  <c r="D18" i="25"/>
  <c r="D10" i="25"/>
  <c r="D9" i="25" l="1"/>
  <c r="D17" i="25"/>
  <c r="D139" i="25"/>
  <c r="D124" i="25"/>
  <c r="D121" i="25"/>
  <c r="D118" i="25"/>
  <c r="D115" i="25"/>
  <c r="D85" i="25"/>
  <c r="D28" i="25"/>
  <c r="D25" i="25"/>
  <c r="D6" i="25"/>
  <c r="I35" i="15" l="1"/>
  <c r="D81" i="24" l="1"/>
  <c r="D60" i="24" l="1"/>
  <c r="D36" i="24"/>
  <c r="D27" i="24"/>
  <c r="D80" i="24"/>
  <c r="D69" i="24"/>
  <c r="D68" i="24" s="1"/>
  <c r="D72" i="24"/>
  <c r="D71" i="24" s="1"/>
  <c r="D75" i="24"/>
  <c r="D74" i="24" s="1"/>
  <c r="D78" i="24"/>
  <c r="D84" i="24"/>
  <c r="D65" i="24"/>
  <c r="D83" i="24"/>
  <c r="D77" i="24"/>
  <c r="D63" i="24"/>
  <c r="D62" i="24"/>
  <c r="D61" i="24"/>
  <c r="D57" i="24"/>
  <c r="D58" i="24"/>
  <c r="D59" i="24"/>
  <c r="D54" i="24"/>
  <c r="D51" i="24"/>
  <c r="D18" i="24"/>
  <c r="D7" i="24"/>
  <c r="D26" i="24"/>
  <c r="D35" i="24"/>
  <c r="D34" i="24"/>
  <c r="D48" i="24"/>
  <c r="D47" i="24"/>
  <c r="D46" i="24"/>
  <c r="D45" i="24"/>
  <c r="D39" i="24"/>
  <c r="D30" i="24"/>
  <c r="D38" i="24"/>
  <c r="D37" i="24"/>
  <c r="D33" i="24"/>
  <c r="D24" i="24"/>
  <c r="D29" i="24"/>
  <c r="D28" i="24"/>
  <c r="D25" i="24"/>
  <c r="D21" i="24"/>
  <c r="D56" i="24" l="1"/>
  <c r="D44" i="24"/>
  <c r="D15" i="24"/>
  <c r="D14" i="24"/>
  <c r="D11" i="24"/>
  <c r="D10" i="24"/>
  <c r="D53" i="24"/>
  <c r="D50" i="24"/>
  <c r="D41" i="24"/>
  <c r="D23" i="24"/>
  <c r="D20" i="24"/>
  <c r="D17" i="24"/>
  <c r="D6" i="24"/>
  <c r="D9" i="24" l="1"/>
  <c r="D32" i="24"/>
  <c r="D13" i="24"/>
  <c r="D86" i="21" l="1"/>
  <c r="D73" i="21"/>
  <c r="D67" i="21"/>
  <c r="D60" i="21"/>
  <c r="D179" i="20" l="1"/>
  <c r="D178" i="20" s="1"/>
  <c r="D29" i="20" l="1"/>
  <c r="D11" i="20"/>
  <c r="D112" i="20" l="1"/>
  <c r="D120" i="20"/>
  <c r="D114" i="20"/>
  <c r="D113" i="20"/>
  <c r="D111" i="20"/>
  <c r="D110" i="20"/>
  <c r="D105" i="20"/>
  <c r="D104" i="20"/>
  <c r="D98" i="20" l="1"/>
  <c r="D99" i="20"/>
  <c r="D101" i="20"/>
  <c r="D97" i="20"/>
  <c r="D91" i="20"/>
  <c r="D87" i="20"/>
  <c r="D62" i="20"/>
  <c r="D61" i="20"/>
  <c r="D53" i="20"/>
  <c r="D33" i="20"/>
  <c r="D47" i="20"/>
  <c r="D44" i="20"/>
  <c r="D43" i="20"/>
  <c r="D37" i="20"/>
  <c r="D36" i="20"/>
  <c r="D35" i="20"/>
  <c r="D32" i="20"/>
  <c r="D22" i="20"/>
  <c r="D15" i="20"/>
  <c r="D20" i="20"/>
  <c r="D13" i="20"/>
  <c r="D12" i="20"/>
  <c r="D78" i="21" l="1"/>
  <c r="D9" i="21"/>
  <c r="D118" i="21"/>
  <c r="D113" i="21"/>
  <c r="D112" i="21"/>
  <c r="D93" i="21"/>
  <c r="D107" i="21"/>
  <c r="D97" i="21"/>
  <c r="D98" i="21"/>
  <c r="D94" i="21"/>
  <c r="D90" i="21"/>
  <c r="D89" i="21"/>
  <c r="D84" i="21"/>
  <c r="D77" i="21"/>
  <c r="D74" i="21"/>
  <c r="D70" i="21" s="1"/>
  <c r="D68" i="21"/>
  <c r="D52" i="21"/>
  <c r="D29" i="21" l="1"/>
  <c r="D18" i="21"/>
  <c r="D17" i="21" s="1"/>
  <c r="D7" i="21"/>
  <c r="D6" i="21" s="1"/>
  <c r="D115" i="21"/>
  <c r="D109" i="21"/>
  <c r="D106" i="21"/>
  <c r="D103" i="21"/>
  <c r="D100" i="21"/>
  <c r="D96" i="21"/>
  <c r="D92" i="21"/>
  <c r="D85" i="21"/>
  <c r="D80" i="21"/>
  <c r="D62" i="21"/>
  <c r="D59" i="21"/>
  <c r="D56" i="21"/>
  <c r="D47" i="21"/>
  <c r="D31" i="21"/>
  <c r="D23" i="21"/>
  <c r="D20" i="21"/>
  <c r="D125" i="20"/>
  <c r="D124" i="20"/>
  <c r="D123" i="20" s="1"/>
  <c r="D13" i="21" l="1"/>
  <c r="D175" i="20"/>
  <c r="D173" i="20" l="1"/>
  <c r="D169" i="20"/>
  <c r="D168" i="20" s="1"/>
  <c r="D172" i="20"/>
  <c r="D171" i="20" s="1"/>
  <c r="D88" i="20"/>
  <c r="D166" i="20"/>
  <c r="D165" i="20"/>
  <c r="D162" i="20"/>
  <c r="D160" i="20"/>
  <c r="D159" i="20"/>
  <c r="D161" i="20"/>
  <c r="D156" i="20"/>
  <c r="D153" i="20"/>
  <c r="D150" i="20"/>
  <c r="D147" i="20"/>
  <c r="D146" i="20"/>
  <c r="D138" i="20"/>
  <c r="D142" i="20"/>
  <c r="D143" i="20"/>
  <c r="D139" i="20"/>
  <c r="D135" i="20"/>
  <c r="D134" i="20"/>
  <c r="D131" i="20"/>
  <c r="D128" i="20"/>
  <c r="D121" i="20"/>
  <c r="D119" i="20"/>
  <c r="D115" i="20"/>
  <c r="D116" i="20"/>
  <c r="D26" i="20" l="1"/>
  <c r="D8" i="20"/>
  <c r="D7" i="20"/>
  <c r="D100" i="20" l="1"/>
  <c r="D90" i="20"/>
  <c r="D86" i="20"/>
  <c r="D96" i="20"/>
  <c r="D94" i="20"/>
  <c r="D85" i="20"/>
  <c r="D84" i="20" s="1"/>
  <c r="D54" i="20"/>
  <c r="D34" i="20"/>
  <c r="D60" i="20"/>
  <c r="D49" i="20" l="1"/>
  <c r="D38" i="20"/>
  <c r="D31" i="20"/>
  <c r="D46" i="20"/>
  <c r="D18" i="20"/>
  <c r="D25" i="20"/>
  <c r="D24" i="20" s="1"/>
  <c r="D21" i="20"/>
  <c r="D19" i="20"/>
  <c r="D14" i="20"/>
  <c r="D44" i="17"/>
  <c r="D43" i="17"/>
  <c r="D42" i="17"/>
  <c r="D37" i="13"/>
  <c r="D10" i="20" l="1"/>
  <c r="D17" i="20"/>
  <c r="D50" i="19"/>
  <c r="D13" i="19"/>
  <c r="D9" i="19"/>
  <c r="D155" i="20" l="1"/>
  <c r="D152" i="20"/>
  <c r="D149" i="20"/>
  <c r="D141" i="20"/>
  <c r="D133" i="20"/>
  <c r="D130" i="20"/>
  <c r="D127" i="20"/>
  <c r="D93" i="20"/>
  <c r="D28" i="20"/>
  <c r="D6" i="20"/>
  <c r="D106" i="19"/>
  <c r="D100" i="19"/>
  <c r="D98" i="19"/>
  <c r="D97" i="19" s="1"/>
  <c r="D94" i="19"/>
  <c r="D92" i="19"/>
  <c r="D91" i="19"/>
  <c r="D88" i="19"/>
  <c r="D84" i="19"/>
  <c r="D83" i="19"/>
  <c r="D80" i="19"/>
  <c r="D79" i="19"/>
  <c r="D75" i="19"/>
  <c r="D73" i="19"/>
  <c r="D72" i="19" s="1"/>
  <c r="D56" i="19"/>
  <c r="D53" i="19"/>
  <c r="D45" i="19"/>
  <c r="D20" i="19"/>
  <c r="D17" i="19"/>
  <c r="D87" i="19"/>
  <c r="D6" i="19"/>
  <c r="D158" i="20" l="1"/>
  <c r="D118" i="20"/>
  <c r="D164" i="20"/>
  <c r="D103" i="20"/>
  <c r="D145" i="20"/>
  <c r="D86" i="19"/>
  <c r="D30" i="19"/>
  <c r="D90" i="19"/>
  <c r="D78" i="19"/>
  <c r="D23" i="19"/>
  <c r="D59" i="19"/>
  <c r="D108" i="19"/>
  <c r="D103" i="19"/>
  <c r="D67" i="19"/>
  <c r="D82" i="19"/>
  <c r="D55" i="18" l="1"/>
  <c r="D91" i="18" l="1"/>
  <c r="D88" i="18"/>
  <c r="D76" i="18"/>
  <c r="D79" i="18"/>
  <c r="D100" i="18"/>
  <c r="D97" i="18"/>
  <c r="D94" i="18"/>
  <c r="D22" i="18"/>
  <c r="D48" i="18"/>
  <c r="D103" i="18" l="1"/>
  <c r="D85" i="18"/>
  <c r="D69" i="18"/>
  <c r="D58" i="18"/>
  <c r="D109" i="18"/>
  <c r="I9" i="15"/>
  <c r="I10" i="15"/>
  <c r="D74" i="13" l="1"/>
  <c r="D52" i="17" l="1"/>
  <c r="D39" i="17"/>
  <c r="D62" i="17"/>
  <c r="D63" i="17"/>
  <c r="D64" i="17"/>
  <c r="D34" i="17"/>
  <c r="D33" i="17"/>
  <c r="D32" i="17"/>
  <c r="D49" i="17" l="1"/>
  <c r="D48" i="17"/>
  <c r="D47" i="17"/>
  <c r="D29" i="17" l="1"/>
  <c r="D28" i="17"/>
  <c r="D27" i="17"/>
  <c r="D59" i="17"/>
  <c r="D58" i="17"/>
  <c r="D57" i="17"/>
  <c r="D54" i="17"/>
  <c r="D53" i="17"/>
  <c r="D38" i="17"/>
  <c r="D37" i="17"/>
  <c r="D24" i="17"/>
  <c r="D23" i="17"/>
  <c r="D22" i="17"/>
  <c r="D19" i="17"/>
  <c r="D18" i="17"/>
  <c r="D17" i="17"/>
  <c r="D14" i="17"/>
  <c r="D13" i="17"/>
  <c r="D12" i="17"/>
  <c r="D9" i="17"/>
  <c r="D8" i="17"/>
  <c r="D7" i="17"/>
  <c r="D98" i="13" l="1"/>
  <c r="D97" i="13" s="1"/>
  <c r="D112" i="13"/>
  <c r="D109" i="13"/>
  <c r="D79" i="13"/>
  <c r="D48" i="13"/>
  <c r="D16" i="13"/>
  <c r="D11" i="13"/>
  <c r="D95" i="13"/>
  <c r="D94" i="13" s="1"/>
  <c r="D134" i="13"/>
  <c r="D133" i="13" s="1"/>
  <c r="D118" i="13"/>
  <c r="D117" i="13" s="1"/>
  <c r="D131" i="13"/>
  <c r="D130" i="13" s="1"/>
  <c r="D123" i="13"/>
  <c r="D128" i="13"/>
  <c r="D127" i="13" s="1"/>
  <c r="D92" i="13"/>
  <c r="D121" i="13"/>
  <c r="D120" i="13" s="1"/>
  <c r="D106" i="13" l="1"/>
  <c r="D115" i="13" l="1"/>
  <c r="D114" i="13" s="1"/>
  <c r="D111" i="13"/>
  <c r="D41" i="13" l="1"/>
  <c r="D89" i="13"/>
  <c r="D86" i="13" s="1"/>
  <c r="D78" i="13"/>
  <c r="D77" i="13" l="1"/>
  <c r="D49" i="13"/>
  <c r="D32" i="13"/>
  <c r="D33" i="13"/>
  <c r="D20" i="13"/>
  <c r="D17" i="13"/>
  <c r="D12" i="13"/>
  <c r="D25" i="13" l="1"/>
  <c r="D14" i="13"/>
  <c r="D9" i="13"/>
  <c r="I77" i="15"/>
  <c r="I74" i="15"/>
  <c r="I73" i="15"/>
  <c r="I72" i="15"/>
  <c r="I71" i="15"/>
  <c r="I61" i="15"/>
  <c r="I60" i="15"/>
  <c r="I59" i="15"/>
  <c r="I58" i="15"/>
  <c r="I57" i="15"/>
  <c r="I56" i="15"/>
  <c r="I55" i="15"/>
  <c r="I54" i="15"/>
  <c r="I53" i="15"/>
  <c r="I52" i="15"/>
  <c r="I51" i="15"/>
  <c r="I44" i="15"/>
  <c r="I43" i="15"/>
  <c r="I42" i="15"/>
  <c r="I41" i="15"/>
  <c r="I40" i="15"/>
  <c r="I39" i="15"/>
  <c r="I38" i="15"/>
  <c r="I37" i="15"/>
  <c r="I36" i="15"/>
  <c r="I34" i="15"/>
  <c r="I33" i="15"/>
  <c r="I32" i="15"/>
  <c r="I31" i="15"/>
  <c r="I30" i="15"/>
  <c r="I23" i="15"/>
  <c r="I22" i="15"/>
  <c r="I15" i="15"/>
  <c r="I14" i="15"/>
  <c r="I13" i="15"/>
  <c r="I12" i="15"/>
  <c r="I11" i="15"/>
  <c r="I8" i="15"/>
  <c r="I65" i="15" l="1"/>
  <c r="I45" i="15"/>
  <c r="I78" i="15"/>
  <c r="I24" i="15"/>
  <c r="I16" i="15"/>
  <c r="D91" i="13" l="1"/>
  <c r="D76" i="13"/>
  <c r="D72" i="13"/>
  <c r="D19" i="13"/>
  <c r="D6" i="13"/>
  <c r="D36" i="13" l="1"/>
  <c r="D62" i="13"/>
  <c r="D40" i="13"/>
  <c r="D22" i="13"/>
</calcChain>
</file>

<file path=xl/sharedStrings.xml><?xml version="1.0" encoding="utf-8"?>
<sst xmlns="http://schemas.openxmlformats.org/spreadsheetml/2006/main" count="2645" uniqueCount="946">
  <si>
    <t>PROF. REDE</t>
  </si>
  <si>
    <t>PROF. MÉDIA</t>
  </si>
  <si>
    <t>DN</t>
  </si>
  <si>
    <t>PAVIMENTO</t>
  </si>
  <si>
    <t>ATERRO DE VALA</t>
  </si>
  <si>
    <t>MONT.</t>
  </si>
  <si>
    <t>JUS.</t>
  </si>
  <si>
    <t>ASFALTO</t>
  </si>
  <si>
    <t>PASSEIO</t>
  </si>
  <si>
    <t>TOTAIS</t>
  </si>
  <si>
    <t>PC</t>
  </si>
  <si>
    <t>ROCHA</t>
  </si>
  <si>
    <t>ESC. TOTAL MAN.</t>
  </si>
  <si>
    <t>ESC. TOTAL MEC.</t>
  </si>
  <si>
    <t>DADOS DO DIMENSIONAMENTO</t>
  </si>
  <si>
    <t>COL.</t>
  </si>
  <si>
    <t>ESTACA</t>
  </si>
  <si>
    <t>COMP.</t>
  </si>
  <si>
    <t>LARGU. DA VALA</t>
  </si>
  <si>
    <t>LIMPEZ. (M²)</t>
  </si>
  <si>
    <t>DEMOL. PAV.(M²)</t>
  </si>
  <si>
    <t>ESC. TOTAL</t>
  </si>
  <si>
    <t>ESCAVAÇÃO MANUAL</t>
  </si>
  <si>
    <t>ESCAVAÇÃO MECANICA</t>
  </si>
  <si>
    <t>ACERTO FUNDO VALA</t>
  </si>
  <si>
    <t>ESCOR. PONTA</t>
  </si>
  <si>
    <t>ESCOR. DESC.</t>
  </si>
  <si>
    <t>B.SEXTA.</t>
  </si>
  <si>
    <t>SOLO ATÉ 4,50</t>
  </si>
  <si>
    <t>BASE (m³)</t>
  </si>
  <si>
    <t xml:space="preserve">ESPALHAMENTO DE SOLO </t>
  </si>
  <si>
    <t>ESPALHAMENTO DE ROCHA</t>
  </si>
  <si>
    <t>CARGA MECÂNICA</t>
  </si>
  <si>
    <t>MATERIAL 1ª CATEGORIA</t>
  </si>
  <si>
    <t>UN</t>
  </si>
  <si>
    <t>LOCALIDADE:</t>
  </si>
  <si>
    <t xml:space="preserve">OBRA/SERVIÇO - UNID. DO SISTEMA:      </t>
  </si>
  <si>
    <t>DATA:</t>
  </si>
  <si>
    <t>QUANTITATIVOS</t>
  </si>
  <si>
    <t>TOTAL</t>
  </si>
  <si>
    <t>LOCAÇÃO DE OBRA</t>
  </si>
  <si>
    <t>m²</t>
  </si>
  <si>
    <t>XX</t>
  </si>
  <si>
    <t xml:space="preserve"> </t>
  </si>
  <si>
    <t>ESCAVAÇÃO DE SOLO</t>
  </si>
  <si>
    <t>m³</t>
  </si>
  <si>
    <t>ATERRO</t>
  </si>
  <si>
    <t>REGULARIZAÇÃO DE TERRENO</t>
  </si>
  <si>
    <t>ESPALHAMENTO DE SOLO</t>
  </si>
  <si>
    <t>FORMA PLANA</t>
  </si>
  <si>
    <t>ARMAÇÃO</t>
  </si>
  <si>
    <t>kg</t>
  </si>
  <si>
    <t>CIMBRAMENTO</t>
  </si>
  <si>
    <t>IMPERMEABILIZAÇÃO</t>
  </si>
  <si>
    <t>ALVENARIA</t>
  </si>
  <si>
    <t>m</t>
  </si>
  <si>
    <t>TELHADO</t>
  </si>
  <si>
    <t>BOM JESUS DA LAPA, RIACHO DE SANTANA E IGAPORÃ - BAHIA</t>
  </si>
  <si>
    <t xml:space="preserve">UNID. DO SISTEMA:      </t>
  </si>
  <si>
    <t xml:space="preserve">MONTAGENS ESPECIAIS EM FoFo (kg) - CAPTAÇÃO </t>
  </si>
  <si>
    <t>ITEM</t>
  </si>
  <si>
    <t>ABREV.</t>
  </si>
  <si>
    <t>TUBO</t>
  </si>
  <si>
    <t xml:space="preserve">CONEXÕES </t>
  </si>
  <si>
    <t>PESO PARCIAL (kg)</t>
  </si>
  <si>
    <t>QUANT.</t>
  </si>
  <si>
    <t>COMP. (mm)</t>
  </si>
  <si>
    <t>PESO (kg/m)</t>
  </si>
  <si>
    <t xml:space="preserve">PESO (kg/un) </t>
  </si>
  <si>
    <t>TFL10</t>
  </si>
  <si>
    <t>TFF10</t>
  </si>
  <si>
    <t>TFB10</t>
  </si>
  <si>
    <t>TFP10</t>
  </si>
  <si>
    <t>R23FC10</t>
  </si>
  <si>
    <t>JDTA10</t>
  </si>
  <si>
    <t>TOF10</t>
  </si>
  <si>
    <t xml:space="preserve">PESO TOTAL (kg) </t>
  </si>
  <si>
    <t xml:space="preserve">MONTAGENS ESPECIAIS EM FoFo (kg) - AAB </t>
  </si>
  <si>
    <t>C90FF10</t>
  </si>
  <si>
    <t>REFF10</t>
  </si>
  <si>
    <t>FC10</t>
  </si>
  <si>
    <t>16*20</t>
  </si>
  <si>
    <t>Bloco de Apoio</t>
  </si>
  <si>
    <t>Caixa</t>
  </si>
  <si>
    <t>(4,91*2,25) + (3,65*8,89)</t>
  </si>
  <si>
    <t>Bloco de Apoio 45x45</t>
  </si>
  <si>
    <t>(3,65*8,89)</t>
  </si>
  <si>
    <t>Laje</t>
  </si>
  <si>
    <t>(0,25*1,8)*5</t>
  </si>
  <si>
    <t>3,67 + (7,7*1,9) + (2,2*8,9)</t>
  </si>
  <si>
    <t>Base RHO</t>
  </si>
  <si>
    <t>13*0,1</t>
  </si>
  <si>
    <t>7,7*1,9</t>
  </si>
  <si>
    <t>(10,56*0,1)</t>
  </si>
  <si>
    <t>Pilares</t>
  </si>
  <si>
    <t>(7,7*1,9) + (8,9*2,2) + (3,67*2) + (4,91*2)</t>
  </si>
  <si>
    <t>(10,56*2) + (0,1*13)</t>
  </si>
  <si>
    <t>Paredes Externas</t>
  </si>
  <si>
    <t>Paredes Internas</t>
  </si>
  <si>
    <t>Platibanda</t>
  </si>
  <si>
    <t>(0,45*0,45*0,25)</t>
  </si>
  <si>
    <t>MANTA GEOTÊXTIL</t>
  </si>
  <si>
    <t>17,16*14,33</t>
  </si>
  <si>
    <t>PEDRA RACHÃO</t>
  </si>
  <si>
    <t>17,16*14,33*0,3</t>
  </si>
  <si>
    <t>GABIÃO</t>
  </si>
  <si>
    <t>(17,16*14,33) + (14,33*0,3*2) + (17,16*0,3*2)</t>
  </si>
  <si>
    <t>PORTÃO</t>
  </si>
  <si>
    <t>Entrada Carros</t>
  </si>
  <si>
    <t>Entrada Pedestres</t>
  </si>
  <si>
    <t>(16+16+20+20)</t>
  </si>
  <si>
    <t>FLUTUADORES</t>
  </si>
  <si>
    <t>5*5</t>
  </si>
  <si>
    <t>BRITA N° 2</t>
  </si>
  <si>
    <t>0,0625*0,674</t>
  </si>
  <si>
    <t>CABO DE AÇO GALVANIZADO</t>
  </si>
  <si>
    <t>un</t>
  </si>
  <si>
    <t>Balsa</t>
  </si>
  <si>
    <t>34,55+20,64</t>
  </si>
  <si>
    <t>Ancoragem Balsa</t>
  </si>
  <si>
    <t>FORMA CURVA</t>
  </si>
  <si>
    <t>CALHA</t>
  </si>
  <si>
    <t>(9,95+6,15+4,7+17,3)</t>
  </si>
  <si>
    <t>(4*6,75) + (11,15*5,31)</t>
  </si>
  <si>
    <t>(0,3*1,8)*5</t>
  </si>
  <si>
    <t>(1,245*1,9) + (4,9*0,15*2)</t>
  </si>
  <si>
    <t>(0,45*0,25*4) + (0,45*0,45*2)</t>
  </si>
  <si>
    <t>(9,95*0,7) + (6,15*0,7)</t>
  </si>
  <si>
    <t>((9,95*0,7) + (6*0,7))*2 + (0,1*9,95) + (0,1*6) + (0,1*0,7*4)</t>
  </si>
  <si>
    <t>RUFO</t>
  </si>
  <si>
    <t>11,15+6,75</t>
  </si>
  <si>
    <t>0</t>
  </si>
  <si>
    <t>+00,00</t>
  </si>
  <si>
    <t>11</t>
  </si>
  <si>
    <t>T</t>
  </si>
  <si>
    <t>CAIXAS DA AAB</t>
  </si>
  <si>
    <t>Registro de Descarga</t>
  </si>
  <si>
    <t>Ventosa no Arruamento</t>
  </si>
  <si>
    <t xml:space="preserve">(2,4*2,05) </t>
  </si>
  <si>
    <t>Ventosa Fora do Arruamento</t>
  </si>
  <si>
    <t>(1,9*1,8)</t>
  </si>
  <si>
    <t>(4,92*3,1) + (6,352*8,89)</t>
  </si>
  <si>
    <t>(3,42*2,2) + (3,52*7,4)</t>
  </si>
  <si>
    <t>(6,352*8,89) + (1,11*8,89)</t>
  </si>
  <si>
    <t>(3,52*7,4)</t>
  </si>
  <si>
    <t>(3,67-0,4)*2</t>
  </si>
  <si>
    <t>(2,4-0,4)*1,85</t>
  </si>
  <si>
    <t>(71,72-66,34)*1,3</t>
  </si>
  <si>
    <t>(33,57-26,05)*1,3</t>
  </si>
  <si>
    <t xml:space="preserve">CONCRETO ESTRUTURAL </t>
  </si>
  <si>
    <t>(1,245*2) + (4,91*0,15) + ((4,91*0,15)-(0,4*0,15)) + (0,09*0,4) + (0,025*2,26)</t>
  </si>
  <si>
    <t>(1,02*1,85) + ((3,42*0,15)-(0,4*0,15)) + (3,42*0,15) + (0,025*2,26)</t>
  </si>
  <si>
    <t>(1,02*1,85) + ((3,42*0,15)-(0,4*0,15)) + (3,42*0,15) + (0,04*0,4) + (0,025*2,26)</t>
  </si>
  <si>
    <t>4*80</t>
  </si>
  <si>
    <t>2,91*80</t>
  </si>
  <si>
    <t>2,93*80</t>
  </si>
  <si>
    <t>(1,2*1,88) + ((0,67+0,62)*2,26) + (0,09*0,4)</t>
  </si>
  <si>
    <t>(0,56*1,88) + (0,52*2,26) + (0,09*0,4)</t>
  </si>
  <si>
    <t>(0,09*0,4)</t>
  </si>
  <si>
    <t>(6,2*1,85) + (7,4*2,15) + 2,4</t>
  </si>
  <si>
    <t>(7,69*2) + (8,89*2,3) +3,67</t>
  </si>
  <si>
    <t>(7,7*1,95) + (8,89*2,3) + (3,67*2)  + (4,91*2) + (0,67*2,26) + (1,16*1,88)</t>
  </si>
  <si>
    <t>(6,2*1,85) + (7,4*2,15) + (2,4*2) + (3,42*2)</t>
  </si>
  <si>
    <t>(6,2*1,85) + (7,4*2,15) + (2,4*2) + (3,42*2) + (0,52*2,26) + (0,41*1,88)</t>
  </si>
  <si>
    <t>CERCA</t>
  </si>
  <si>
    <t>TRANSPORTE SOLO MOLE (M³XKM)</t>
  </si>
  <si>
    <t>SOLO ATÉ 1,5</t>
  </si>
  <si>
    <t>ÀGUA ATÉ 1,5</t>
  </si>
  <si>
    <t>SOLO &gt;1,5 A 3,0</t>
  </si>
  <si>
    <t>ÀGUA &gt;1,5 A 3,0</t>
  </si>
  <si>
    <t>TRANSPORTE ROCHA (M³XKM)</t>
  </si>
  <si>
    <t>C45FF10</t>
  </si>
  <si>
    <t>Fundação</t>
  </si>
  <si>
    <t>Passeio</t>
  </si>
  <si>
    <t xml:space="preserve">Calha </t>
  </si>
  <si>
    <t>4,6*0,4</t>
  </si>
  <si>
    <t xml:space="preserve">Berço </t>
  </si>
  <si>
    <t>PORTAS</t>
  </si>
  <si>
    <t>PISO CIMENTADO</t>
  </si>
  <si>
    <t>Teto</t>
  </si>
  <si>
    <t>PINTURA</t>
  </si>
  <si>
    <t>RODAPÉ</t>
  </si>
  <si>
    <t xml:space="preserve">SOLEIRA EM PEDRA ARDÓSIA </t>
  </si>
  <si>
    <t>1,1*0,15</t>
  </si>
  <si>
    <t>P1</t>
  </si>
  <si>
    <t>PEITORIL</t>
  </si>
  <si>
    <t>J1</t>
  </si>
  <si>
    <t>J2</t>
  </si>
  <si>
    <t>1,1*2,1</t>
  </si>
  <si>
    <t>JANELAS</t>
  </si>
  <si>
    <t>REBOCO/CHAPISCO</t>
  </si>
  <si>
    <t xml:space="preserve">SOLO 3,0 a 4,5 </t>
  </si>
  <si>
    <t>ÀGUA 3,0 a 4,5</t>
  </si>
  <si>
    <t>ETA - SALA DE ELÉTRICA DA ETA PRÉ FABRICADA</t>
  </si>
  <si>
    <t>Caixa Pluvial</t>
  </si>
  <si>
    <t>1,6*3,2</t>
  </si>
  <si>
    <t>P2</t>
  </si>
  <si>
    <t>(1,1*0,5)*8</t>
  </si>
  <si>
    <t>0,5*0,5*16</t>
  </si>
  <si>
    <t>1,6*0,15</t>
  </si>
  <si>
    <t>1,1*8</t>
  </si>
  <si>
    <t>0,5*16</t>
  </si>
  <si>
    <t>12*4,4</t>
  </si>
  <si>
    <t xml:space="preserve">Paredes </t>
  </si>
  <si>
    <t>TELHA</t>
  </si>
  <si>
    <t>PISO ELEVADO</t>
  </si>
  <si>
    <t>ETA - ESTAÇÃO ELEVATÓRIA DE ÁGUA TRATADA</t>
  </si>
  <si>
    <t>145,32+287,82</t>
  </si>
  <si>
    <t>Caixa de manobras</t>
  </si>
  <si>
    <t>Poço</t>
  </si>
  <si>
    <t>(0,45*0,41) + (0,16*1,89)</t>
  </si>
  <si>
    <t>LASTRO DE CONCRETO MAGRO</t>
  </si>
  <si>
    <t>LASTRO CONCRETO MAGRO</t>
  </si>
  <si>
    <t>5,37*0,05</t>
  </si>
  <si>
    <t>3,8*0,05</t>
  </si>
  <si>
    <t xml:space="preserve">LASTRO CONCRETO MAGRO </t>
  </si>
  <si>
    <t>(4,74*7,25)</t>
  </si>
  <si>
    <t>(0,16*1,89)</t>
  </si>
  <si>
    <t>Paredes</t>
  </si>
  <si>
    <t>Nicho Para Canaleta</t>
  </si>
  <si>
    <t>Poços</t>
  </si>
  <si>
    <t>(3,27*35,85)  + (2,75*16,9) + (0,58*35,14)</t>
  </si>
  <si>
    <t>Caixa de Manobras</t>
  </si>
  <si>
    <t>(2,4*0,5)</t>
  </si>
  <si>
    <t>Caixa de coleta</t>
  </si>
  <si>
    <t>(0,17*0,5) + (0,1*0,42)</t>
  </si>
  <si>
    <t>Escada</t>
  </si>
  <si>
    <t>(0,84) + (0,17*1,25*11) + (3,83*1,25)</t>
  </si>
  <si>
    <t>(0,84*1,25)</t>
  </si>
  <si>
    <t>LASTRO DE BRITA</t>
  </si>
  <si>
    <t xml:space="preserve">(0,51*0,05) </t>
  </si>
  <si>
    <t>(1,6*1,6*0,05)</t>
  </si>
  <si>
    <t>527,12-432,02</t>
  </si>
  <si>
    <t>(3,14*1,25*0,86) + (0,7*1,25*1,72)</t>
  </si>
  <si>
    <t>Caixa para fios</t>
  </si>
  <si>
    <t>(527,12-432,02)  + (99*0,05)</t>
  </si>
  <si>
    <t>0,84 + (9,73*1,25)</t>
  </si>
  <si>
    <t>((34,35*3,25) - ((0,5*3,25*7) + (1*2*7) + (0,9*2,95) + (1*2,1)))</t>
  </si>
  <si>
    <t>(51,4*0,55)</t>
  </si>
  <si>
    <t xml:space="preserve">PISO </t>
  </si>
  <si>
    <t>0,9*2,95</t>
  </si>
  <si>
    <t>1*2,1</t>
  </si>
  <si>
    <t>(0,5*3,25)*7</t>
  </si>
  <si>
    <t>(1*2)*7</t>
  </si>
  <si>
    <t>0,9*0,15</t>
  </si>
  <si>
    <t>1*0,15</t>
  </si>
  <si>
    <t>2*7</t>
  </si>
  <si>
    <t>3,25*7</t>
  </si>
  <si>
    <t>7,91*16,6</t>
  </si>
  <si>
    <t>7,5+7,75+17,3</t>
  </si>
  <si>
    <t>(51,4*0,55*2) + (0,15*51,4)</t>
  </si>
  <si>
    <t>((34,35*3,25) - ((0,5*3,25*7) + (1*2*7) + (0,9*2,95) + (1*2,1)))*2</t>
  </si>
  <si>
    <t>(1*5,12*3)</t>
  </si>
  <si>
    <t>126 + (1,35*5*7,5) + (1,35*3*16,8)</t>
  </si>
  <si>
    <t>Reservatório</t>
  </si>
  <si>
    <t>(297,25*0,05)</t>
  </si>
  <si>
    <t>1,6*20,5</t>
  </si>
  <si>
    <t>15,24*20</t>
  </si>
  <si>
    <t>Drenagem fundo</t>
  </si>
  <si>
    <t>Cobertura</t>
  </si>
  <si>
    <t>279,74*0,1</t>
  </si>
  <si>
    <t>GUARDA CORPO</t>
  </si>
  <si>
    <t>ARGAMASSA</t>
  </si>
  <si>
    <t>Canaletas</t>
  </si>
  <si>
    <t>0,016*0,2*2</t>
  </si>
  <si>
    <t>Caixa de Coleta</t>
  </si>
  <si>
    <t>0,085*0,6</t>
  </si>
  <si>
    <t>ETA - SALA DE ELÉTRICA E CABINE DE TRANSFORMAÇÃO</t>
  </si>
  <si>
    <t>Caixa de passagem</t>
  </si>
  <si>
    <t>(0,7*1,9) + (0,6*1,5)</t>
  </si>
  <si>
    <t>CONCRETO MAGRO</t>
  </si>
  <si>
    <t>Enchimento</t>
  </si>
  <si>
    <t>Canaleta</t>
  </si>
  <si>
    <t>((102,47-76,43) *2)+ (0,1*45,8)</t>
  </si>
  <si>
    <t>41,9*0,55</t>
  </si>
  <si>
    <t>P3,P4</t>
  </si>
  <si>
    <t>1,6*3,2*3</t>
  </si>
  <si>
    <t>(1,1*0,5)*10</t>
  </si>
  <si>
    <t>(0,5*0,5)*12</t>
  </si>
  <si>
    <t>1,1*10</t>
  </si>
  <si>
    <t>0,5*12</t>
  </si>
  <si>
    <t>1,6*0,15*3</t>
  </si>
  <si>
    <t>(41,9*0,55*2) + (0,15*41,9)</t>
  </si>
  <si>
    <t>16,4*4,4</t>
  </si>
  <si>
    <t>Elevado</t>
  </si>
  <si>
    <t>Cimentado</t>
  </si>
  <si>
    <t>(4,74*7,25) + (6,27*2,62)</t>
  </si>
  <si>
    <t>(2,85*4,71) + (1,76*1,9) + (0,78*2,51) + (4,74*1,57) + (0,5*1,56*3) + (2,21*2,51*3)</t>
  </si>
  <si>
    <t>(2,85*4,71) + (2,21*2,51*3) + (4,74*1,57)</t>
  </si>
  <si>
    <t>(22,65*0,15)</t>
  </si>
  <si>
    <t>(22,65-15,51)*0,15</t>
  </si>
  <si>
    <t>(20*14) + (16*7,5) + (0,55*8*7,5) + (0,7*2*7,75) + (0,2*54,5)</t>
  </si>
  <si>
    <t>Passagem de eletroduto</t>
  </si>
  <si>
    <t>(4,49*0,14*3)</t>
  </si>
  <si>
    <t>(11*0,2) + (28,1*0,2)</t>
  </si>
  <si>
    <t>(7,25*2,62) + ( 6,4*2,22) + 4,8</t>
  </si>
  <si>
    <t>(1,89*0,6) + (1,49*0,5)</t>
  </si>
  <si>
    <t>(22,59*0,5) + (12,21*0,35) + 15,51</t>
  </si>
  <si>
    <t>(48,5*4,08) + (18,5*5,98) + (49,8*4,68) + ( 5,67*14,5) + (2,7*2*6,38) + (1,7*14) + (1,9*14) + (2,02*34,35) + (2,57*35,85)</t>
  </si>
  <si>
    <t xml:space="preserve">(5,98*0,8*2) + (1,28*14,5) + (0,5*35,85) + (12,38*4,33) </t>
  </si>
  <si>
    <t xml:space="preserve">(0,41*4,71) + (0,18*2,84) + (0,3*3,14) + (0,19*2,51*3) + (0,38*0,035*3) </t>
  </si>
  <si>
    <t>(3,3*0,20) + (15,53*0,15*2)</t>
  </si>
  <si>
    <t>(16,65*0,05)</t>
  </si>
  <si>
    <t>(1,1*1,1*0,065) + ( 1,1*1,1*0,065*3)</t>
  </si>
  <si>
    <t>(243,58*4,08) + (33,53*5,98) +(126*5,67)</t>
  </si>
  <si>
    <t>4,8 *2,22</t>
  </si>
  <si>
    <t>(0,38*1,4) *3</t>
  </si>
  <si>
    <t>(15,51*0,2)</t>
  </si>
  <si>
    <t>(20*14*2) + (0,28*14*3) + (20,5*17,3) + (16,8*7,5) + (22,15*14,5) + (17,3*7,9)</t>
  </si>
  <si>
    <t xml:space="preserve">(48,5*4,08) + (49,8*4,48) + (0,55*49,8) + (1,9*14) + (1,9*14,5) + (5,78*14,5) + (5,12*14,5) + (2,57*17,3) + (2,02*16,8) + (2,57*7,75) + (1,87*7,5*2) </t>
  </si>
  <si>
    <t xml:space="preserve"> (0,6*1,9) + (1,5*0,5) + (0,25 +0,41)</t>
  </si>
  <si>
    <t>(6,39*2,22) + (7,25*2,62) + (4,8*2) + (6,26*2)</t>
  </si>
  <si>
    <t>(2,84*0,4) + (0,46*1,87) + (3,77*1,15) + (1,45*4,71) + (1,13+1,76) + (0,85*1,16) + (1,76-0,64) + (1,13-0,28) + (2,51*2,65) + (2,16*1,88) + (3,14*0,1) + (0,28) + (1,4*2,51*3) +(1,4*1,88*3) + (0,28*3*2) + (0,56*3) + (0,075*2,67*3) + (0,78*3) + (0,1*3,14*3*2)</t>
  </si>
  <si>
    <t>(22,59*0,5) + (15,51*2)</t>
  </si>
  <si>
    <t>(0,3*16,8*3)</t>
  </si>
  <si>
    <t>(1,6*0,6)</t>
  </si>
  <si>
    <t>(3,27*35,85) + (136,58*2,32) + (2,75*16,9) + (41,32*1,9) + (255,93*0,77) + (0,38*49,8)</t>
  </si>
  <si>
    <t>(918,64-257,33)*1,3</t>
  </si>
  <si>
    <t>MANTA ASFÁLTICA</t>
  </si>
  <si>
    <t>((66,43-((0,64*2) + (0,88)))*3,5) + (0,64*0,5*2)</t>
  </si>
  <si>
    <t>(0,7*1,9) + (0,6*1,5) + 0,25 + 0,41</t>
  </si>
  <si>
    <t>40,7*0,3</t>
  </si>
  <si>
    <t>(1*3)+ (2,55*3*2)</t>
  </si>
  <si>
    <t>ETA - UNIDADE DE TRATAMENTO DE RESÍDUOS</t>
  </si>
  <si>
    <t>(7,2*18,4) + (21,16*3,1) + (12,07*64,84) + ((67,58+67,58+23,46)*3,4)</t>
  </si>
  <si>
    <t xml:space="preserve">(9,98*18,4) + (12,07*64,84) </t>
  </si>
  <si>
    <t>(0,12*38) + (0,45*17,02) + (266,61*0,43) + (0,04*17,02) + (0,61*14,38)</t>
  </si>
  <si>
    <t xml:space="preserve">(0,12*38) + (0,45*17,02) </t>
  </si>
  <si>
    <t>(1739,13-978,47)*1,3</t>
  </si>
  <si>
    <t>(3,4*18,4) + (3,58*20,41) + (3,5*30,9*2) + (4,6*3,65*3) +(3,5*4,6) + (2,6*4,6) + (0,6*4,6*2)</t>
  </si>
  <si>
    <t>Meio-fio</t>
  </si>
  <si>
    <t xml:space="preserve">(0,8*17) </t>
  </si>
  <si>
    <t>Misturador estático</t>
  </si>
  <si>
    <t>(0,4*12,78) + (0,25*12,2)</t>
  </si>
  <si>
    <t>Caixas</t>
  </si>
  <si>
    <t>(2,8*3,6*2) + (2,95*4,2*2)</t>
  </si>
  <si>
    <t>(1,87*0,4) + (17,47*0,15)</t>
  </si>
  <si>
    <t>(0,04*17)</t>
  </si>
  <si>
    <t>(0,58*2,8*2) + (0,15*1,7)</t>
  </si>
  <si>
    <t xml:space="preserve">(5,2*0,55) + (0,7*6,4) </t>
  </si>
  <si>
    <t>(0,87*0,55) + (0,15*2,47)</t>
  </si>
  <si>
    <t>(20*0,05)</t>
  </si>
  <si>
    <t>((4,08*7,45) + (8*2*1,87))*2</t>
  </si>
  <si>
    <t>(1,92*0,05*2)</t>
  </si>
  <si>
    <t>2,8*0,05</t>
  </si>
  <si>
    <t xml:space="preserve">(18,01*3,75) + (1,04*20,41) + (0,06*2*4,6) </t>
  </si>
  <si>
    <t xml:space="preserve">(59,6*2*0,25) + (0,789*4,6) </t>
  </si>
  <si>
    <t>5,6*4,6</t>
  </si>
  <si>
    <t>Tanque de decantação</t>
  </si>
  <si>
    <t>171,72 + 350,85</t>
  </si>
  <si>
    <t>234,82-171,72</t>
  </si>
  <si>
    <t>(2,15*4,6*6,45)</t>
  </si>
  <si>
    <t>Passagem</t>
  </si>
  <si>
    <t>(1,2*4,8) + (1,48*6,8) + (8,26*7,95*2) + (8*7,45*2) + 31,5 + (5,84*4,6)</t>
  </si>
  <si>
    <t>(3,4*18,4) + (3,57*20,41) + (3,5*4,6) + (3,57*4,6) + (3,7*4,6) + (3,65*2*7,7) + (3,95*2*7,45) + (3,5*7,45) + (3,75*7,95) + (7,97*2)</t>
  </si>
  <si>
    <t>(12,2*0,25) + (12,8*0,4) + 1,87 + 17,47 + 19,35</t>
  </si>
  <si>
    <t>(1*17)</t>
  </si>
  <si>
    <t>(3,6*2,79) + (4,2*2,95) + 0,58 + 1,12 + 1,7</t>
  </si>
  <si>
    <t>(5,2*0,55) + (6,4*0,7) + 0,87 + 1,6 + 2,47</t>
  </si>
  <si>
    <t>BRITA N° 1</t>
  </si>
  <si>
    <t>5,98*14,4</t>
  </si>
  <si>
    <t>PEDRA DE MÃO</t>
  </si>
  <si>
    <t>0,14*14,4</t>
  </si>
  <si>
    <t>AREIA GROSSA</t>
  </si>
  <si>
    <t>1,78*14,4</t>
  </si>
  <si>
    <t>18,64*14,4</t>
  </si>
  <si>
    <t>MANTA PEAD</t>
  </si>
  <si>
    <t>20,63*14,4</t>
  </si>
  <si>
    <t>Camada filtrante</t>
  </si>
  <si>
    <t>Blocos de apoio</t>
  </si>
  <si>
    <t>(1,3*0,15) + (2*2*0,1) + (1,2*0,1*3)</t>
  </si>
  <si>
    <t>(0,1*0,15) + (0,38*0,1*2) + (0,09*0,1*3)</t>
  </si>
  <si>
    <t>(1,3*0,15) + (0,1*2) + (2*0,1*2) + (0,37*2*2) + (0,09*2*3) + (1,2*0,1*3)</t>
  </si>
  <si>
    <t>LEIRA DE SACOS DE AREIA</t>
  </si>
  <si>
    <t>EFP10</t>
  </si>
  <si>
    <t>80x50</t>
  </si>
  <si>
    <t>13/17</t>
  </si>
  <si>
    <t>ETA - CASA DE QUÍMICA</t>
  </si>
  <si>
    <t xml:space="preserve">(173,84*0,42) </t>
  </si>
  <si>
    <t>(173,84*0,42) -(0,42*0,04*18)</t>
  </si>
  <si>
    <t>(0,5*1,15*1,15) + (0,25*4,6) + (0,15*26) + (26,71*0,3)</t>
  </si>
  <si>
    <t xml:space="preserve">(0,25*4,6) + (0,15*26) </t>
  </si>
  <si>
    <t>(13,2*3*0,6) + (9,2*2*0,6) + (7,6*2*0,6)</t>
  </si>
  <si>
    <t>(1,04*1) + (1,2*4,3) + (0,71*3) + (0,53*3) + (26*0,85) + (25,4*0,75)</t>
  </si>
  <si>
    <t>(0,16*4) + (0,1*4) + (3,85*0,75) + (0,1*26,72)</t>
  </si>
  <si>
    <t>(10,89*0,6*3) + (5,29*0,6*2) + (3,61*0,6*2)</t>
  </si>
  <si>
    <t>(0,063*4*5,41) + (0,04*4*3,5) + (0,05*4*3,61) + (0,063*2*3,61) + (0,04*4*3,4)</t>
  </si>
  <si>
    <t>(4,5*1,35*8,2) + (4,5*3,9*8,2) + ((3,8+4,8+6,95)*8,2*3,4)</t>
  </si>
  <si>
    <t>(0,9*0,19*6) + (0,9*0,16) + 0,55 + (2,39*0,9)</t>
  </si>
  <si>
    <t>(0,55*0,9)</t>
  </si>
  <si>
    <t>Base tanques</t>
  </si>
  <si>
    <t>(0,9*2,39*0,58)</t>
  </si>
  <si>
    <t>(20,6*8,2) + (6,8*8,2) + (7,2*7,7) + (1,4*2*8,2) + (0,7*47) + (0,6*44,93)</t>
  </si>
  <si>
    <t xml:space="preserve">(1*6*0,41)  + (0,8*8*0,41) + (0,9*4*0,41) </t>
  </si>
  <si>
    <t>(15,95*7,7*2) + (17,35*8,2) + (4,5*7,7*2) + (5*8,2) + (6,8*8,2) + (19,2*7,7) + (15,4*8,2) + (115,42-((10,89*3) + (5,29*2) + (3,61*2)))</t>
  </si>
  <si>
    <t>(0,75*25,4) + (0,85*26) + (27,31+23,45) + (0,71*3) + (0,5*4)</t>
  </si>
  <si>
    <t>(13,2*3*0,6) + (9,2*2*0,6) + (7,6*2*0,6) + (10,89*3) + (5,29*2) + (3,61*2)</t>
  </si>
  <si>
    <t>((20,07*3,5)+(39,6*3)) - ((0,5*2*6)+( 1*1,2*2)+(1*1,5*2)+(1*1,2*4) +(0,8*0,8)+(1,5*2,1))</t>
  </si>
  <si>
    <t>(8*(15,75+4,3))</t>
  </si>
  <si>
    <t>15,97+4,67</t>
  </si>
  <si>
    <t>Berço</t>
  </si>
  <si>
    <t>(1,05*25,95) + (0,3*48,7)</t>
  </si>
  <si>
    <t>((16*3,4)+(14,1*3,4)+(2,8*9*3,4)) - ((0,8*2,1*9)+(1,5*2,1*3)+(0,8*1,5)+(1*1,5*5))</t>
  </si>
  <si>
    <t>((13,82*3,5)+(40,6*3)+(20,07*3,5)+(7,2*3,5)+ (39,6*3)) - (((0,5*2*4)+(1*2*4)+(0,8*0,8*2)+(1*1,2*2)+(1*1,5*2))*2)</t>
  </si>
  <si>
    <t>((16*3,4*2)+(14,1*3,4*2)+(2,8*2*9)) - (((0,8*2,1)+(0,8*1,5)+(1*1,5*5)+(1,5*2,1*2)+(0,8*2,1*8))*2)</t>
  </si>
  <si>
    <t>(6,8*8,2) + (19,7*8,2)</t>
  </si>
  <si>
    <t>(1,4*27,2)+ (41*0,65)</t>
  </si>
  <si>
    <t>(1,4*2*27,2) + (41*0,65*2) + (0,15*41) + (0,15*27,2)</t>
  </si>
  <si>
    <t>Parede contenção</t>
  </si>
  <si>
    <t>Apoio</t>
  </si>
  <si>
    <t>(6,7*0,15)</t>
  </si>
  <si>
    <t>(0,4*0,1) + (2,3*0,1*0,1*2) + (4,8*0,1*0,1)</t>
  </si>
  <si>
    <t>(2,28*0,15)</t>
  </si>
  <si>
    <t>(6,7*0,15) + 2,28</t>
  </si>
  <si>
    <t>(2,88) + (6,92*0,1) + (3,02*2) + (7,14*0,1*2) + (7,58) + (12,64*0,1)</t>
  </si>
  <si>
    <t>(3,8*0,1) + (6,92*0,1) + (7,14*0,1*2) + (2,3*0,1*2) + (4,8*0,1) + (12,64*0,1)</t>
  </si>
  <si>
    <t>Filtro anaeróbio</t>
  </si>
  <si>
    <t>Tanque séptico</t>
  </si>
  <si>
    <t xml:space="preserve">(5,48*9,18) + (2,84*2,85) </t>
  </si>
  <si>
    <t>Caixa de inspeção</t>
  </si>
  <si>
    <t>(2,84*2,57) + (5,88*2,85)</t>
  </si>
  <si>
    <t>(5,48*9,18) - ((2,84*2,85)+(0,36*0,75))</t>
  </si>
  <si>
    <t>(5,88*2,85) - ((0,36*0,93)+(2,84*2,57))</t>
  </si>
  <si>
    <t>(1,6*0,75) + (2,4*0,75) + (0,36*2) + (1,6*0,93) + (2,4*0,93)</t>
  </si>
  <si>
    <t>(2,85*4,71) + (5,96*3,24) + (1,76 - ((0,28*2)+0,08))</t>
  </si>
  <si>
    <t>(0,6*5,96) + ((1,76*0,15) - (0,28*0,15*2) + (0,08*0,15))</t>
  </si>
  <si>
    <t>(0,2*0,65) + (0,36*0,1) + (0,2*0,83) + (0,36*0,1)</t>
  </si>
  <si>
    <t>(2,76*4,71) + (3,24*5,96) + ((1,76 - ((0,28*2)+0,08))*2)</t>
  </si>
  <si>
    <t>(1,6*0,75) + (2,4*0,75) + ((0,16+0,36)*2) + (1,6*0,93) + (2,4*0,93)</t>
  </si>
  <si>
    <t>(1,76*1,2)</t>
  </si>
  <si>
    <t xml:space="preserve">BRITA </t>
  </si>
  <si>
    <t>Valas de infiltração</t>
  </si>
  <si>
    <t>Caixa de tratamento de efluentes</t>
  </si>
  <si>
    <t>(0,36*0,93) + (0,28*2,4)</t>
  </si>
  <si>
    <t>(0,36*0,93)</t>
  </si>
  <si>
    <t>(0,54*17,2*2) + (4,8*1,08*2) + (2,4*1,08) + (0,54*9,2)</t>
  </si>
  <si>
    <t>(0,54*17,2*2) + (4,8*1,08*2) + (0,54*9,2)</t>
  </si>
  <si>
    <t>(4*0,05)</t>
  </si>
  <si>
    <t>(0,49*0,05)</t>
  </si>
  <si>
    <t>(0,2*0,93) + (0,1*0,16) + (0,048*0,18)</t>
  </si>
  <si>
    <t>(2,4*0,93) + (1,6*0,83) + (0,42*0,42) + (0,021*4)</t>
  </si>
  <si>
    <t>(1,6*0,83) + (2,4*0,93) + (0,16+0,36) + (0,021*4) + (0,17*2)</t>
  </si>
  <si>
    <t>(4,8*2) + (0,18*0,6*2*2) + (0,18*8*2*2) + 2,4 + (0,18*9,2)</t>
  </si>
  <si>
    <t>(4,8*0,4*2) + (2,4*0,4)</t>
  </si>
  <si>
    <t>(209,07-158,11)*1,3</t>
  </si>
  <si>
    <t>34,65+5,6+13,44+(6,44*2)+10,64+(5,88*2)+(5,6*2)+5,1+14,28+27,2</t>
  </si>
  <si>
    <t>((9,8*2)+(9,6*2)+9,4+15,8+35,4+9,6+15,2+(10,2*2)+13,2+24,4) -((0,8*9*2)+(1,5*4)+(1,7*2)+4,5)</t>
  </si>
  <si>
    <t>P3</t>
  </si>
  <si>
    <t>J1, J4</t>
  </si>
  <si>
    <t>(1*1,2*2)+(0,8*0,8*2)</t>
  </si>
  <si>
    <t>1*1,5*2</t>
  </si>
  <si>
    <t>J3</t>
  </si>
  <si>
    <t>1*1,2*4</t>
  </si>
  <si>
    <t>JV5, JV6, JV7</t>
  </si>
  <si>
    <t>(1*1,5*5)+(0,8*1,5*1)+(0,5*2*6)</t>
  </si>
  <si>
    <t>P1, P2, P3, P5</t>
  </si>
  <si>
    <t>(0,8*0,15*9)+(1,5*0,15*3)+(0,6*0,15*4)+(0,8*0,15*1)</t>
  </si>
  <si>
    <t>J1, J2, J3, J4, JV5, JV6, JV7</t>
  </si>
  <si>
    <t>(1*2) + (1*2) + (1*4) + (0,8*2) + (1*5) + (0,8*1) + (0,5*6)</t>
  </si>
  <si>
    <t>332,81+(2,83*2) + 0,36</t>
  </si>
  <si>
    <t xml:space="preserve">PASSEIO </t>
  </si>
  <si>
    <t>436,73-332,81</t>
  </si>
  <si>
    <t>(0,17*0,79)</t>
  </si>
  <si>
    <t>P2, P5</t>
  </si>
  <si>
    <t>(1,5*2,1*3)+(0,8*2,1)</t>
  </si>
  <si>
    <t>0,6*1,6*4</t>
  </si>
  <si>
    <t>(1,06*2,27) + (2,83*0,15) + ((2,83*0,15) - (0,28*0,15)) + ((1,76*0,11)-(0,002*0,11*20*4))</t>
  </si>
  <si>
    <t>(2,32*4,71) + (5,96*2,57) + (1,76-0,28) + (1,76-(0,002*20*4))</t>
  </si>
  <si>
    <t>(4,71*2,32) + (2,57*5,96) + (1,76+2,83) + (2,83 - (0,28*2)) + ((1,76*2)-(0,002*20*4*2*0,11)) + (0,11*0,15*20*4*2)</t>
  </si>
  <si>
    <t>MADEIRA</t>
  </si>
  <si>
    <t>Apoio cilindros</t>
  </si>
  <si>
    <t>(0,8*14)</t>
  </si>
  <si>
    <t>ETA - ESTAÇÃO ELEVATÓRIA DE RECIRCULAÇÃO</t>
  </si>
  <si>
    <t xml:space="preserve">(41,85*5) + (21,43*22,93) </t>
  </si>
  <si>
    <t>((21,43*22,93)-((3,94*1,25)+(1,76*3,4)+(0,95*5,95)))</t>
  </si>
  <si>
    <t>(735,67-474,83)*1,3</t>
  </si>
  <si>
    <t>Parede externa</t>
  </si>
  <si>
    <t>Parede interna</t>
  </si>
  <si>
    <t>Parede</t>
  </si>
  <si>
    <t>Parede extrena</t>
  </si>
  <si>
    <t>(22*4,65)+(0,3*1,61)</t>
  </si>
  <si>
    <t>(22*4,5) + (0,21*22) + (0,3*1,61)</t>
  </si>
  <si>
    <t>(22,93*4,9)+(0,3*1,61)</t>
  </si>
  <si>
    <t>(3,37*4,9)+(0,01*22)+(0,3*0,25)</t>
  </si>
  <si>
    <t>Drenagem de fundo</t>
  </si>
  <si>
    <t>(43*0,05) + (0,42*1,6*0,05)</t>
  </si>
  <si>
    <t>Laje superior</t>
  </si>
  <si>
    <t>((38,48-0,49-0,49-0,039)*4,65)</t>
  </si>
  <si>
    <t>(38,48*0,15)+((38,48*0,1)-((0,49*2*0,1)+(0,039*0,1))) + (0,06*1,6)</t>
  </si>
  <si>
    <t>(41,85-0,49-0,49-0,039)</t>
  </si>
  <si>
    <t>(38,48-0,49-0,49-0,039)+((38,48+(0,42*1,6))*2)</t>
  </si>
  <si>
    <t>((38,48-0,49-0,49-0,56)*0,7)</t>
  </si>
  <si>
    <t>Laje sperior</t>
  </si>
  <si>
    <t>(66,36-(41,85+4,22+1,76))</t>
  </si>
  <si>
    <t>(1,08+2,53)</t>
  </si>
  <si>
    <t>(1,35*2) + (1,53*2)+1,35</t>
  </si>
  <si>
    <t>(0,1*22,93)</t>
  </si>
  <si>
    <t>(43*0,15) + (14,89*0,3) + (0,02*4,49*9) + (0,02*3,54*2) + (0,02*1,09)</t>
  </si>
  <si>
    <t>(0,45*4,49*9) + (0,45*3,54*2) + (0,45*1,09) + 41,85 + (0,45*((5,25+10,15+8,9+7,04+2,74)*2))</t>
  </si>
  <si>
    <t>R23FV10</t>
  </si>
  <si>
    <t>MONTAGENS ESPECIAIS EM FoFo (kg) - ETA - UNIDADE DE TRATAMENTO DE RESÍDUOS</t>
  </si>
  <si>
    <t>MONTAGENS ESPECIAIS EM FoFo (kg) - ETA - ESTAÇÃO ELEVATÓRIA DE RECIRCULAÇÃO</t>
  </si>
  <si>
    <t>(2,7+2,7+1,8)</t>
  </si>
  <si>
    <t>(4,53*0,05) + (1,97*0,05) + (0,0375*2) + (0,267*1)</t>
  </si>
  <si>
    <t>EER</t>
  </si>
  <si>
    <t>+4,75</t>
  </si>
  <si>
    <t>+6,73</t>
  </si>
  <si>
    <t>+7,76</t>
  </si>
  <si>
    <t>+10,75</t>
  </si>
  <si>
    <t>+11,79</t>
  </si>
  <si>
    <t>+17,79</t>
  </si>
  <si>
    <t>+3,78</t>
  </si>
  <si>
    <t>1</t>
  </si>
  <si>
    <t>+9,78</t>
  </si>
  <si>
    <t>+15,78</t>
  </si>
  <si>
    <t>2</t>
  </si>
  <si>
    <t>+1,78</t>
  </si>
  <si>
    <t>+7,78</t>
  </si>
  <si>
    <t>+13,78</t>
  </si>
  <si>
    <t>+19,89</t>
  </si>
  <si>
    <t>3</t>
  </si>
  <si>
    <t>+0,93</t>
  </si>
  <si>
    <t>+6,62</t>
  </si>
  <si>
    <t>+7,56</t>
  </si>
  <si>
    <t>+13,55</t>
  </si>
  <si>
    <t>+19,55</t>
  </si>
  <si>
    <t>4</t>
  </si>
  <si>
    <t>+5,55</t>
  </si>
  <si>
    <t>+9,42</t>
  </si>
  <si>
    <t>+10,46</t>
  </si>
  <si>
    <t>+14,91</t>
  </si>
  <si>
    <t>+15,95</t>
  </si>
  <si>
    <t>5</t>
  </si>
  <si>
    <t>+0,58</t>
  </si>
  <si>
    <t>DN 80 FOFO</t>
  </si>
  <si>
    <t>(5,28*1,25) + (5,97*1,4) + (4,22+3,28) + (3,37*3,25) + (4,01*3,35) + (1,76+1,18) + (0,6*3*0,28)+(0,5*0,55) + (0,022*3) + (0,03)</t>
  </si>
  <si>
    <t>(0,84*1,4) + (0,15*3,28) + (3,4*0,56) + (0,15*1,18) + (0,022*0,28*3) + (0,03*0,55)</t>
  </si>
  <si>
    <t>(4,01*3,35)+(3,37*3,25) + (5,98*1,4)+(1,25*5,28) + (0,6*3*0,28)+(0,5*0,55)</t>
  </si>
  <si>
    <t>ESCAVAÇÃO VALAS - ETA- ESTAÇÃO ELEVATÓRIA DE RECICURLAÇÃO</t>
  </si>
  <si>
    <t>ESCAVAÇÃO VALAS - ETA- ESGOTAMENTO DA CASA DE QUÍMICA E BAGS</t>
  </si>
  <si>
    <t>ECQB</t>
  </si>
  <si>
    <t>CX01</t>
  </si>
  <si>
    <t>CX02</t>
  </si>
  <si>
    <t>PV03</t>
  </si>
  <si>
    <t>PV04</t>
  </si>
  <si>
    <t>PV05</t>
  </si>
  <si>
    <t>PV06</t>
  </si>
  <si>
    <t>CX07</t>
  </si>
  <si>
    <t>CX08</t>
  </si>
  <si>
    <t xml:space="preserve">CX08 </t>
  </si>
  <si>
    <t>CX09</t>
  </si>
  <si>
    <t>CX10</t>
  </si>
  <si>
    <t>CX11</t>
  </si>
  <si>
    <t>PV12</t>
  </si>
  <si>
    <t>CX13</t>
  </si>
  <si>
    <t>SE</t>
  </si>
  <si>
    <t>PV14</t>
  </si>
  <si>
    <t>PV15</t>
  </si>
  <si>
    <t>CSQ</t>
  </si>
  <si>
    <t>PV16</t>
  </si>
  <si>
    <t>PV17</t>
  </si>
  <si>
    <t>PV</t>
  </si>
  <si>
    <t>17</t>
  </si>
  <si>
    <t>DRE</t>
  </si>
  <si>
    <t>DN 100 PVC-OCRE</t>
  </si>
  <si>
    <t>DN 150 PVC-OCRE</t>
  </si>
  <si>
    <t>TUBO PVC OCRE DN 100</t>
  </si>
  <si>
    <t>TUBO PVC OCRE DN 150</t>
  </si>
  <si>
    <t>CAIXA DE PASSAGEM</t>
  </si>
  <si>
    <t>POÇO DE VISITA</t>
  </si>
  <si>
    <t>8 UN</t>
  </si>
  <si>
    <t>9 UN</t>
  </si>
  <si>
    <t>PV. / CX.P. / BL</t>
  </si>
  <si>
    <t>CX. PASS. (S/N)</t>
  </si>
  <si>
    <t>DEG.</t>
  </si>
  <si>
    <t>PROF. PV/CX/BL</t>
  </si>
  <si>
    <t>PV     DN 400</t>
  </si>
  <si>
    <t>PV          DN 800</t>
  </si>
  <si>
    <t>PV     DN 600</t>
  </si>
  <si>
    <t>CHAMINE (M) ANEL 800</t>
  </si>
  <si>
    <t>CHAMINE (M) 60cm TIJOLO</t>
  </si>
  <si>
    <t>BOCA LOBO SIMPLES</t>
  </si>
  <si>
    <t>BOCA LOBO DUPLA</t>
  </si>
  <si>
    <t>BOCA LOBO ESPEC</t>
  </si>
  <si>
    <t xml:space="preserve">CAIX. PASS. </t>
  </si>
  <si>
    <t xml:space="preserve">DN 400 CA </t>
  </si>
  <si>
    <t>DN 600 CA</t>
  </si>
  <si>
    <t>PAVIM.</t>
  </si>
  <si>
    <t>LIMPE. (M²)</t>
  </si>
  <si>
    <t>DEMO. PAV.(M²)</t>
  </si>
  <si>
    <t>ESCOR. DESC</t>
  </si>
  <si>
    <t>CONCRE. P/ BERÇO</t>
  </si>
  <si>
    <t>SOLO ATÉ 1,50</t>
  </si>
  <si>
    <t>ÀGUA ATÉ 1,50</t>
  </si>
  <si>
    <t>ROCHA ATÉ 1,50</t>
  </si>
  <si>
    <t>SOLO ATÉ 3,00</t>
  </si>
  <si>
    <t>ÀGUA ATÉ 3,00</t>
  </si>
  <si>
    <t>ROCHA ATÉ 3,00</t>
  </si>
  <si>
    <t>ROCHA ATÉ 4,50</t>
  </si>
  <si>
    <t>SOLO 3,0 a 4,50</t>
  </si>
  <si>
    <t>BLD</t>
  </si>
  <si>
    <t>01</t>
  </si>
  <si>
    <t>LAN</t>
  </si>
  <si>
    <t>N</t>
  </si>
  <si>
    <t>02</t>
  </si>
  <si>
    <t>BL</t>
  </si>
  <si>
    <t>03</t>
  </si>
  <si>
    <t>04</t>
  </si>
  <si>
    <t>05</t>
  </si>
  <si>
    <t>06</t>
  </si>
  <si>
    <t>07</t>
  </si>
  <si>
    <t>08</t>
  </si>
  <si>
    <t>09</t>
  </si>
  <si>
    <t>10</t>
  </si>
  <si>
    <t>CX</t>
  </si>
  <si>
    <t>12</t>
  </si>
  <si>
    <t>S</t>
  </si>
  <si>
    <t>13</t>
  </si>
  <si>
    <t>TUBO DN 400               (M):</t>
  </si>
  <si>
    <t>SARJETA (M):</t>
  </si>
  <si>
    <t>QUANT. BL SIMPLES:</t>
  </si>
  <si>
    <t>TUBO DN 600               (M):</t>
  </si>
  <si>
    <t>QUANT. BL DUPLA:</t>
  </si>
  <si>
    <t>QUANT. PV DN 400:</t>
  </si>
  <si>
    <t xml:space="preserve">ESPALHAMENTO DE ROCHA </t>
  </si>
  <si>
    <t>ALA DE LANÇAMENTO DN 600:</t>
  </si>
  <si>
    <t>QUANT. PV DN 600:</t>
  </si>
  <si>
    <t>ESCAVAÇÃO VALAS - ETA- REDE DE DRENAGEM E ESGOTAMENTO</t>
  </si>
  <si>
    <t>B L</t>
  </si>
  <si>
    <t>01a</t>
  </si>
  <si>
    <t>02a</t>
  </si>
  <si>
    <t>03a</t>
  </si>
  <si>
    <t>04a</t>
  </si>
  <si>
    <t>05a</t>
  </si>
  <si>
    <t>06a</t>
  </si>
  <si>
    <t>07a</t>
  </si>
  <si>
    <t>MONTAGENS ESPECIAIS EM FoFo (kg) - ETA - PONTO DE ÁGUA DE SERVIÇO E INTERLIGAÇÃO ETA COM AS ELEVATÓRIAS</t>
  </si>
  <si>
    <t>ESCAVAÇÃO VALAS - ETA - PONTO DE ÁGUA DE SERVIÇO E INTERLIGAÇÃO ETA COM AS ELEVATÓRIAS</t>
  </si>
  <si>
    <t>INT</t>
  </si>
  <si>
    <t>DN 60 PVC</t>
  </si>
  <si>
    <t>DN 32 PVC</t>
  </si>
  <si>
    <t>D</t>
  </si>
  <si>
    <t>030</t>
  </si>
  <si>
    <t>CP</t>
  </si>
  <si>
    <t>DN 500 CA</t>
  </si>
  <si>
    <t>SOLO 1,50 a 3,0</t>
  </si>
  <si>
    <t>ÀGUA 1,50 a 3,0</t>
  </si>
  <si>
    <t>TUBO DN 500               (M):</t>
  </si>
  <si>
    <t>QUANT. CAIX. PASS.</t>
  </si>
  <si>
    <t>DN 150 PVC OCRE</t>
  </si>
  <si>
    <t>TRANSPORTE DE ROCHA(M³XKM)</t>
  </si>
  <si>
    <t>P1, P2</t>
  </si>
  <si>
    <t>Porta com gradil</t>
  </si>
  <si>
    <t>(2,5*2,2*2) + (2*2,2) + (2,2*2,2)</t>
  </si>
  <si>
    <t>( ((4,5*4,75*2) + (9,65*4,75*2) + (6*2*3,2) + (3,2*3,2)) - ((0,6*0,25*6) + (1,5*0,5*6) + (0,8*2,1*2) + (4*3,55) + ( 1*1)+ (1,6*3,2)) )</t>
  </si>
  <si>
    <t>((3*2*2,2) + (3*3) - (0,5*1))</t>
  </si>
  <si>
    <t>(3,8*6) + (5,1*9,65)</t>
  </si>
  <si>
    <t>(28,3+18,4)</t>
  </si>
  <si>
    <t>SOLEIRA</t>
  </si>
  <si>
    <t>(0,8*0,15*2) + (1,6*0,15)</t>
  </si>
  <si>
    <t>PEITORIS</t>
  </si>
  <si>
    <t>(1,5*6) + (0,6*6)</t>
  </si>
  <si>
    <t>J1,J2,J3,J4,J5,J6</t>
  </si>
  <si>
    <t>(1,5*0,5*6) + (0,6*0,25*6)</t>
  </si>
  <si>
    <t>( ((4,5*4,75*2) + (9,65*4,75*2) + (6*2*3,2) + (3,2*3,2*2)+(3*3*2) + (3*2,2*2*2)) - ((0,6*0,25*6) + (1,5*0,5*6) + (0,8*2,1*2) + (4*3,55) + ( 1*1) + (1*0,5)) )</t>
  </si>
  <si>
    <t>( ((9,95*5,15*2) + (6,1*5,15) + (6,15*3,6*2) + (3,5*3,6)) - ((0,6*0,25*6) + (1,5*0,5*6) + (0,8*2,1*2) + (4*3,55) + ( 1*1)) )</t>
  </si>
  <si>
    <t>1*1,9</t>
  </si>
  <si>
    <t>4*1,9</t>
  </si>
  <si>
    <t>(31,86-19,74)</t>
  </si>
  <si>
    <t>(0,5*2*4,8) + (0,05*2*4,8) + (0,4*2*4,8)</t>
  </si>
  <si>
    <t>(0,26*4,8)</t>
  </si>
  <si>
    <t>(2,1*4,8) + (1,8*4,8)</t>
  </si>
  <si>
    <t>29,64*0,35</t>
  </si>
  <si>
    <t>((29,64-19,74)*0,35) + (16,24*0,4)</t>
  </si>
  <si>
    <t xml:space="preserve">(4,1*3,6*6) </t>
  </si>
  <si>
    <t xml:space="preserve">(4,2*4,1) + (3,7*4,7) + (3,65*4,1*2) </t>
  </si>
  <si>
    <t>((31,86-19,74) *2)+ (0,1*22,6)</t>
  </si>
  <si>
    <t>((15,5*5,7)-((1*0,5*2)+(1,6*2,1)))</t>
  </si>
  <si>
    <t>2,55*3</t>
  </si>
  <si>
    <t>Parede Interna</t>
  </si>
  <si>
    <t>17,8*0,55</t>
  </si>
  <si>
    <t>15,8*0,3</t>
  </si>
  <si>
    <t>(15,5-1,6)</t>
  </si>
  <si>
    <t>P2, P3</t>
  </si>
  <si>
    <t xml:space="preserve">(2*3) + (1,5*3) </t>
  </si>
  <si>
    <t>(1*0,5)*2</t>
  </si>
  <si>
    <t>1*2</t>
  </si>
  <si>
    <t>3,45*4,2</t>
  </si>
  <si>
    <t xml:space="preserve">((17,8*6,25) - ((1*0,5*2) + (1,6*2,1))) </t>
  </si>
  <si>
    <t xml:space="preserve">(2,55*3*2) + ((15,5*6) - ((1*0,5*2) + (1,6*2,1))) </t>
  </si>
  <si>
    <t>(17,8*0,55*2) + (0,15*17,8)</t>
  </si>
  <si>
    <t xml:space="preserve">(79,64*0,7) </t>
  </si>
  <si>
    <t>(0,13*1,9) + (0,42*0,38)</t>
  </si>
  <si>
    <t>((79,64-61,25)*0,7) + (52,8*0,25)</t>
  </si>
  <si>
    <t xml:space="preserve">(0,13*1,9) </t>
  </si>
  <si>
    <t>(58,96-26,32)*1,3</t>
  </si>
  <si>
    <t>(4,2*4,1) + (0,45*17,8)</t>
  </si>
  <si>
    <t xml:space="preserve">(12,6*4,4) + (0,45*34,8) </t>
  </si>
  <si>
    <t>(1*4,1*8)</t>
  </si>
  <si>
    <t>(0,6*1,9) + (0,5*1,5)</t>
  </si>
  <si>
    <t>(0,17*0,6) + (0,25*0,1)</t>
  </si>
  <si>
    <t>0,52*0,05</t>
  </si>
  <si>
    <t>(83,57-61,25)</t>
  </si>
  <si>
    <t>12*4,4*3,5</t>
  </si>
  <si>
    <t>(12,2*4,9) + (12*4,4*3) + (0,3*32,79) + (0,45*34,79) + (12*2*4,4)</t>
  </si>
  <si>
    <t>(0,6*1,9) + (0,5*1,5) + 0,25 + 0,42</t>
  </si>
  <si>
    <t>((83,57-61,25) *2)+ (0,1*39,6)</t>
  </si>
  <si>
    <t>(((3,875*2*2)+(4,4*2)+(3,75*2))*3,2) - ((1,1*0,5*8)+(0,5*0,5*16)+(1,6*3,2)+(1,1*2,1) +0,32)</t>
  </si>
  <si>
    <t>24,4*0,3</t>
  </si>
  <si>
    <t>35,7*0,55</t>
  </si>
  <si>
    <t>(32,8-1,6-1,1)</t>
  </si>
  <si>
    <t>4,82*12,2</t>
  </si>
  <si>
    <t>((32,8*3,5) - ((0,55*8)+(0,25*16)+2,31+5,12+0,204)) + ((32,8*3,75) - ((0,55*8)+(0,25*16)+2,31+5,12+0,204))</t>
  </si>
  <si>
    <t>(35,7*0,55*2) + (0,15*35,7)</t>
  </si>
  <si>
    <t>(0,41*41) + (76,44*0,83)</t>
  </si>
  <si>
    <t>(0,475*0,42) + (1,9*0,17)</t>
  </si>
  <si>
    <t>(1,9*0,17)</t>
  </si>
  <si>
    <t>(0,41*41) + (66,44*0,43)</t>
  </si>
  <si>
    <t>(84,82-45,7)*1,3</t>
  </si>
  <si>
    <t xml:space="preserve">(0,45*2*4,8) </t>
  </si>
  <si>
    <t xml:space="preserve">(16,3*4,4) + (0,45*2*4,9) + (0,3*39) + (0,45*15,6*2) </t>
  </si>
  <si>
    <t>(0,17*0,6) + (0,42*0,1)</t>
  </si>
  <si>
    <t>(28,82*0,3)- ((4,8*1,4*0,3))</t>
  </si>
  <si>
    <t>(102,48-76,44)</t>
  </si>
  <si>
    <t>(16,45*4,4) + (15,3*4,9) + (30,2*4,4)</t>
  </si>
  <si>
    <t>(3*3,2) + (4,4*3,1) + (2,9*3,2)</t>
  </si>
  <si>
    <t>4,82*15,3</t>
  </si>
  <si>
    <t>(3*3,2*2) + (0,64*2) + (4,4*3,1*2) + (3,2*2,9*2)</t>
  </si>
  <si>
    <t>ETA - CABINE DE MEDIÇÃO E PROTEÇÃO</t>
  </si>
  <si>
    <t>Cx para inst elet</t>
  </si>
  <si>
    <t>(4,22*0,4) + (3,02*0,35) + 0,77 + (3,52*0,05)</t>
  </si>
  <si>
    <t>(0,54*0,4) + (0,57*0,15) + (0,77*0,05)</t>
  </si>
  <si>
    <t>(4,22*0,4) + (3,02*0,35) + (0,77*2) + (3,52*0,05) + 1,12 + 0,57</t>
  </si>
  <si>
    <t>1,33*0,05</t>
  </si>
  <si>
    <t xml:space="preserve">(0,12*4,22) </t>
  </si>
  <si>
    <t>1,056*1,056</t>
  </si>
  <si>
    <t>(0,12*4,22) + (1,12*0,45)</t>
  </si>
  <si>
    <t>(11,95-10,47)*1,3</t>
  </si>
  <si>
    <t>((39*3,2) - ((0,5*1,1*10)+(0,5*0,5*12)+(1,6*3,2*3) + (1,1*2,1) +(0,25*3,2*4) ))</t>
  </si>
  <si>
    <t>((40,1*3,75) - ((1,1*0,5*10)+(0,5*0,5*12)+(1,6*3,2*3) + (1,1*2,1)))+((40,1*3,2) - ((1,1*0,5*10)+(0,5*0,5*12)+(1,6*3,2*3)+(1,1*2,1)))</t>
  </si>
  <si>
    <t>(39-1,6-1,1)</t>
  </si>
  <si>
    <t>SISTEMA INTEGRADO DE ABASTECIMENTO DE ÁGUA</t>
  </si>
  <si>
    <t>ESCADA MARINHEIRO</t>
  </si>
  <si>
    <t>(0,05*50)</t>
  </si>
  <si>
    <t>ESTAÇÃO ELEVATÓRIA DE ÁGUA BRUTA/CAPTAÇÃO</t>
  </si>
  <si>
    <t>ARMAÇÃO CA-50</t>
  </si>
  <si>
    <t>ARMAÇÃO CA-60</t>
  </si>
  <si>
    <t>Estacas fundação</t>
  </si>
  <si>
    <t>27+35</t>
  </si>
  <si>
    <t>205+289</t>
  </si>
  <si>
    <t>Vigas</t>
  </si>
  <si>
    <t>49+11+29+21+23</t>
  </si>
  <si>
    <t>184+137+160+53+73</t>
  </si>
  <si>
    <t>253+222+621,46+147+356</t>
  </si>
  <si>
    <t>(0,56*4,8) + (1,44*0,8))</t>
  </si>
  <si>
    <t>((0,56*4,8) + (1,44*0,8))*11</t>
  </si>
  <si>
    <t>Bloco de fundação Pilares</t>
  </si>
  <si>
    <t>(0,56*4,8)*11</t>
  </si>
  <si>
    <t>(93,34-64,72)*1,3</t>
  </si>
  <si>
    <t>(0,8*4,8)*11</t>
  </si>
  <si>
    <t>(0,8*1,44)*11</t>
  </si>
  <si>
    <t>((0,8*4,8)+(1,44*2))*11</t>
  </si>
  <si>
    <t xml:space="preserve">(0,8*9,8*6) + (0,9*9,8*2) + (1*9,8) + (0,8*8,25) + (0,9*8,25) </t>
  </si>
  <si>
    <t xml:space="preserve">(0,04*9,8*6) + (0,05*9,8*2) + (0,0625*9,8) + (0,04*8,25) + (0,05*8,25) </t>
  </si>
  <si>
    <t>(1,15*5,95*2) + (1,15*5,9*2) + (1,25*4,35) + (0,95*3,1*3) + (1,15*9,05) + (0,95*8,9*3) + (0,95*4,4*7) + (0,95*4,45*2) + (1,15*4,35*2) + (0,95*9,05) + (0,95*4,35) + (1,15*4,95) + (0,95*5,9)</t>
  </si>
  <si>
    <t>(1,3*5,95*2) + (1,3*5,9*2) + (1,3*4,35) + (1,1*3,1*3) + (1,3*9,05) + (1,1*8,9*3) + (1,1*4,4*7) + (1,1*4,45*2) + (1,3*4,35*2) + (1,1*9,05) + (1,1*4,35) + (1,3*4,95) + (1,1*5,9)</t>
  </si>
  <si>
    <t>(0,075*5,95*2) + (0,075*5,9*2) + (0,0825*4,35) + (0,06*3,1*3) + (0,075*9,05) + (0,06*8,9*3) + (0,06*4,4*7) + (0,06*4,45*2) + (0,075*4,35*2) + (0,06*9,05) + (0,06*4,35) + (0,075*4,95) + (0,06*5,9)</t>
  </si>
  <si>
    <t>(1,13*4,5) + (1,89*4,5) + (0,7142*3,2) + (1,19*3,2*2)</t>
  </si>
  <si>
    <t>((2,15+1,95+4,95)*4,5*2) + (5,95*3,2*3)</t>
  </si>
  <si>
    <t>(((2,15+1,95+4,95)*4,5*2) + (5,95*3,2*3))*2</t>
  </si>
  <si>
    <t xml:space="preserve">((2,15+1,95+4,95)*4,5*5,03) + (5,95*3,2*1,1) + (5,95*3,2*2,7) + (5,95*3,2*3,9) +((2,15+1,95+4,95)*4,5*4,45) </t>
  </si>
  <si>
    <t>ESTACA HELICE CONTINUA</t>
  </si>
  <si>
    <t>Blocos Fundação</t>
  </si>
  <si>
    <t>(2,4*0,5*4)</t>
  </si>
  <si>
    <t>(0,36*0,5*4)</t>
  </si>
  <si>
    <t>(1,2*6,3*4)</t>
  </si>
  <si>
    <t>(0,09*6,3*4)</t>
  </si>
  <si>
    <t>(1,15*3,8) + (0,95*4,15) + (1,15*3,3) + (0,95*4,1) + (0,95*3,6)</t>
  </si>
  <si>
    <t>(1,30*3,8) + (1,1*4,15) + (1,30*3,3) + (1,1*4,1) + (1,1*3,6)</t>
  </si>
  <si>
    <t>(0,1*3,8) + (0,06*4,15) + (0,1*3,3) + (0,075*4,1) + (0,075*3,6)</t>
  </si>
  <si>
    <t>3+16</t>
  </si>
  <si>
    <t>80+48</t>
  </si>
  <si>
    <t>Estacas</t>
  </si>
  <si>
    <t>0,34*50</t>
  </si>
  <si>
    <t>ESTACAS ESCAVADAS</t>
  </si>
  <si>
    <t>6*4</t>
  </si>
  <si>
    <t>(2,4*0,5*8)</t>
  </si>
  <si>
    <t>(0,36*0,5*8)</t>
  </si>
  <si>
    <t>(2,4*0,5*4) + (0,36*2*4)</t>
  </si>
  <si>
    <t>(2,4*0,5*8) + (0,36*2*8)</t>
  </si>
  <si>
    <t>(0,06*4,1*8)</t>
  </si>
  <si>
    <t>(1,45*4,05) + (1,45*10,46) + (1,15*4,4) + (1,15*11,51)</t>
  </si>
  <si>
    <t>(1,6*4,05) + (1,6*10,46) + (1,3*4,4) + (1,3*11,51)</t>
  </si>
  <si>
    <t>ESTACAS ESCAVADS</t>
  </si>
  <si>
    <t>6*8</t>
  </si>
  <si>
    <t>124+159</t>
  </si>
  <si>
    <t>0,13*50</t>
  </si>
  <si>
    <t>(2,4*0,5*16)</t>
  </si>
  <si>
    <t>(2,4*0,5*16) + (0,36*2*16)</t>
  </si>
  <si>
    <t>(0,36*0,5*16)</t>
  </si>
  <si>
    <t>ESTACA ESCAVADA</t>
  </si>
  <si>
    <t>(7*11) + (4*5)</t>
  </si>
  <si>
    <t xml:space="preserve">(8,91*0,09*3) + (0,35*2*3) + (2,4*0,2) + (2,2*0,27) + (2*0,35) + (2,2*3*0,2) + (1*8,37*5) + (1*6,27*11) </t>
  </si>
  <si>
    <t xml:space="preserve">(0,09*3,22*3) + (0,24*0,35*3) + (0,28*0,2*3) + (0,32*0,2) + (0,28*0,28) + (0,24*0,35) + (0,0625*8,37*5) + (0,0625*6,27*11) </t>
  </si>
  <si>
    <t xml:space="preserve">(1,1*3,54*3) + (3,22*3) + (0,28*3) + (2,2*0,2*3) + (0,35*2*3) + (0,24*3) + (0,32+0,28+0,24) + (2,4*0,2) + (2,2*0,27) + (0,35*2) + (1*8,37*5) + (1*6,27*11) </t>
  </si>
  <si>
    <t xml:space="preserve">(0,95*1,92) + (0,95*14,64) + (0,95*6,28) + (0,95*6,56) + (0,95*2,27) + (0,95*16,04) + (0,95*6,98) + (0,95*7,26) + (1,35*2,27) + (1,35*16,04) + (1,35*7,18) + (1,35*6,98*3) + (1,35*7,26) </t>
  </si>
  <si>
    <t xml:space="preserve">(0,075*1,92) + (0,075*14,64) + (0,075*6,28) + (0,075*6,56) + (0,075*2,27) + (0,075*16,04) + (0,075*6,98) + (0,075*7,26) + (0,125*2,27) + (0,125*16,04) + (0,125*7,18) + (0,125*6,98*3) + (0,125*7,26) </t>
  </si>
  <si>
    <t xml:space="preserve">(1,1*1,92) + (1,1*14,64) + (1,1*6,28) + (1,1*6,56) + (1,1*2,27) + (1,1*16,04) + (1,1*6,98) + (1,1*7,26) + (1,5*2,27) + (1,5*16,04) + (1,5*7,18) + (1,5*6,98*3) + (1,5*7,26) </t>
  </si>
  <si>
    <t>166+142</t>
  </si>
  <si>
    <t>62+53</t>
  </si>
  <si>
    <t>94+120+238</t>
  </si>
  <si>
    <t>31+34+80</t>
  </si>
  <si>
    <t>(1,45*4,05) + (1,05*4,4) + (1,05*4,05) + (1,45*13,72) + (1,25*14,6) + (1,15*4,4)</t>
  </si>
  <si>
    <t>(0,1375*4,05) + (0,08*4,4) + (0,08*4,05) + (0,1375*13,72) + (0,1125*14,6) + (0,1*4,4)</t>
  </si>
  <si>
    <t>(6*5) + (9*3)</t>
  </si>
  <si>
    <t>Viga</t>
  </si>
  <si>
    <t>257+424</t>
  </si>
  <si>
    <t>(1,6*4,05) + (1,2*4,4) + (1,2*4,05) + (1,6*13,72) + (1,4*14,6) + (1,3*4,4)</t>
  </si>
  <si>
    <t>(2,4*0,5*22) + (0,36*2*22)</t>
  </si>
  <si>
    <t>(0,36*0,5*22)</t>
  </si>
  <si>
    <t>(2,4*0,5*22)</t>
  </si>
  <si>
    <t xml:space="preserve">(1*5,3*4) + (1*3,5*2) + (0,8*5,3*4) + (0,9*3,5*6) + (0,8*3,5*6) </t>
  </si>
  <si>
    <t>146+146</t>
  </si>
  <si>
    <t>36+36</t>
  </si>
  <si>
    <t xml:space="preserve">(1,5*18,56*2) + (1,4*13,83*2) + (1,3*6,16*2) + (1,2*6,16) + (1,2*2,8*2) + (1,2*2,6*4) + (1,2*2,63*3) + (1,3*4,5*2) + (1,3*7,3*3) + (1,3*15,55*2) + (1,2*15,4*2) + (1,2*7,3) </t>
  </si>
  <si>
    <t xml:space="preserve">(1,35*18,56*2) + (1,25*13,83*2) + (1,15*6,16*2) + (1,05*6,16) + (1,05*2,8*2) + (1,05*2,6*4) + (1,05*2,63*3) + (1,15*4,5*2) + (1,15*7,3*3) + (1,15*15,55*2) + (1,05*15,4*2) + (1,05*7,3) </t>
  </si>
  <si>
    <t xml:space="preserve">(0,125*18,56*2) + (0,1*13,83*2) + (0,1*6,16*2) + (0,08*6,16) + (0,08*2,8*2) + (0,08*2,6*4) + (0,08*2,63*3) + (0,1*4,5*2) + (0,1*7,3*3) + (0,1*15,55*2) + (0,08*15,4*2) + (0,08*7,3) </t>
  </si>
  <si>
    <t>(2,39*7,7) + (0,675*7,7) + (0,7*8,2)</t>
  </si>
  <si>
    <t>Contrapiso</t>
  </si>
  <si>
    <t>(134,89*0,04) + (41*0,04)</t>
  </si>
  <si>
    <t>(7,04*20)</t>
  </si>
  <si>
    <t>(0,54*4,1)</t>
  </si>
  <si>
    <t>(19,74*0,04)</t>
  </si>
  <si>
    <t>(0,79*20)</t>
  </si>
  <si>
    <t>(1,8*4,4)</t>
  </si>
  <si>
    <t>(61,25*0,04)</t>
  </si>
  <si>
    <t>(2,45*20)</t>
  </si>
  <si>
    <t>(138,4*0,04)</t>
  </si>
  <si>
    <t>(5,54*20)</t>
  </si>
  <si>
    <t>(2,26*4,4) + (0,06*2*4,8) + ((28,82*0,15)-(4,8*1,4*0,15)) + (0,06*1,4)</t>
  </si>
  <si>
    <t>(83,46*0,04)</t>
  </si>
  <si>
    <t>(3,34*20)</t>
  </si>
  <si>
    <t>ARRIMO</t>
  </si>
  <si>
    <t>(7,22+7,5+2,27+16,798)*1,87</t>
  </si>
  <si>
    <t>111,84+123,13</t>
  </si>
  <si>
    <t>Pilares Res.</t>
  </si>
  <si>
    <t>Laje Res.</t>
  </si>
  <si>
    <t>(0,09*4,68)*15</t>
  </si>
  <si>
    <t>(1,2*4,68)*15</t>
  </si>
  <si>
    <t>(0,25*297,25)*2</t>
  </si>
  <si>
    <t>(5,6*17,3)</t>
  </si>
  <si>
    <t>Laje Reservatório</t>
  </si>
  <si>
    <t>Parede Res.</t>
  </si>
  <si>
    <t>3851,21+3727+61,27+299</t>
  </si>
  <si>
    <t xml:space="preserve">(4,71*1,45) + (3,77*1,15) + (0,3*2,84) + (2,84*0,4) + (0,94*0,4) + (0,09*2,32) + (0,46*1,87) + (1,88*2,16) + (2,51*2,09) + (0,35*3,14) + (0,1*3,14) + (1,41*1,88*3) + (2,51*1,4*3) + (0,1*3,14) +(0,28) </t>
  </si>
  <si>
    <t>0,14*50</t>
  </si>
  <si>
    <t>5,32*50</t>
  </si>
  <si>
    <t>4,85*50</t>
  </si>
  <si>
    <t>(0,5*80)</t>
  </si>
  <si>
    <t>(6,6*50)</t>
  </si>
  <si>
    <t>410+200+116+362+102</t>
  </si>
  <si>
    <t>(0,13*80)</t>
  </si>
  <si>
    <t>(3,77*80)</t>
  </si>
  <si>
    <t>(0,34*50)</t>
  </si>
  <si>
    <t>(3,39*80)</t>
  </si>
  <si>
    <t>(0,37*80)</t>
  </si>
  <si>
    <t>(0,21*80)</t>
  </si>
  <si>
    <t xml:space="preserve">ESCADA MARINHEIRO </t>
  </si>
  <si>
    <t>13 + (8*7) + (4*3) + (7*4) + (3*4)</t>
  </si>
  <si>
    <t>(1,5*1,5*0,6)*2</t>
  </si>
  <si>
    <t>(1,5*4*0,6)*2</t>
  </si>
  <si>
    <t>(4*3) + (8*8) + (6*10) + (6*4) + (4*4) + (2*4)</t>
  </si>
  <si>
    <t>280,17+132,48+87,07</t>
  </si>
  <si>
    <t>218,06+96,53+69,61</t>
  </si>
  <si>
    <t>3360,41+44,60+6,32</t>
  </si>
  <si>
    <t>8440,28+8,53+530,88+5,68</t>
  </si>
  <si>
    <t>ESCAVAÇÃO VALAS - ADUTORA DE ÁGUA BRUTA</t>
  </si>
  <si>
    <t>DN 700 PEAD</t>
  </si>
  <si>
    <t>AAB</t>
  </si>
  <si>
    <t>+03,33</t>
  </si>
  <si>
    <t>9</t>
  </si>
  <si>
    <t>+07,81</t>
  </si>
  <si>
    <t>+06,98</t>
  </si>
  <si>
    <t>16</t>
  </si>
  <si>
    <t>+16,07</t>
  </si>
  <si>
    <t>23</t>
  </si>
  <si>
    <t>+03,15</t>
  </si>
  <si>
    <t>24</t>
  </si>
  <si>
    <t>+14,97</t>
  </si>
  <si>
    <t>26</t>
  </si>
  <si>
    <t>+01,82</t>
  </si>
  <si>
    <t>30</t>
  </si>
  <si>
    <t>+02,96</t>
  </si>
  <si>
    <t>39</t>
  </si>
  <si>
    <t>50</t>
  </si>
  <si>
    <t>+04,39</t>
  </si>
  <si>
    <t>53</t>
  </si>
  <si>
    <t>+06,26</t>
  </si>
  <si>
    <t>54</t>
  </si>
  <si>
    <t>+18,99</t>
  </si>
  <si>
    <t>58</t>
  </si>
  <si>
    <t>+03,86</t>
  </si>
  <si>
    <t>63</t>
  </si>
  <si>
    <t>+01,96</t>
  </si>
  <si>
    <t>64</t>
  </si>
  <si>
    <t>+15,12</t>
  </si>
  <si>
    <t>68</t>
  </si>
  <si>
    <t>+11,12</t>
  </si>
  <si>
    <t>72</t>
  </si>
  <si>
    <t>+07,83</t>
  </si>
  <si>
    <t>73</t>
  </si>
  <si>
    <t>76</t>
  </si>
  <si>
    <t>+05,67</t>
  </si>
  <si>
    <t>96</t>
  </si>
  <si>
    <t>+01,74</t>
  </si>
  <si>
    <t>104</t>
  </si>
  <si>
    <t>+11,07</t>
  </si>
  <si>
    <t>119</t>
  </si>
  <si>
    <t>+11,34</t>
  </si>
  <si>
    <t>124</t>
  </si>
  <si>
    <t>+05,90</t>
  </si>
  <si>
    <t>141</t>
  </si>
  <si>
    <t>+18,30</t>
  </si>
  <si>
    <t>145</t>
  </si>
  <si>
    <t>+02,52</t>
  </si>
  <si>
    <t>146</t>
  </si>
  <si>
    <t>150</t>
  </si>
  <si>
    <t>+14,77</t>
  </si>
  <si>
    <t>154</t>
  </si>
  <si>
    <t>+18,08</t>
  </si>
  <si>
    <t>164</t>
  </si>
  <si>
    <t>+17,05</t>
  </si>
  <si>
    <t>183</t>
  </si>
  <si>
    <t>+03,24</t>
  </si>
  <si>
    <t>193</t>
  </si>
  <si>
    <t>204</t>
  </si>
  <si>
    <t>+16,30</t>
  </si>
  <si>
    <t>210</t>
  </si>
  <si>
    <t>+07,21</t>
  </si>
  <si>
    <t>214</t>
  </si>
  <si>
    <t>+06,89</t>
  </si>
  <si>
    <t>TUBO DEFOFO DN 700</t>
  </si>
  <si>
    <t>CAIXA REGISTRO DE DESCARGA</t>
  </si>
  <si>
    <t>1 UN</t>
  </si>
  <si>
    <t>CAIXA VENTOSA</t>
  </si>
  <si>
    <t>6 UN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</si>
</sst>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_)"/>
    <numFmt numFmtId="165" formatCode="[$-416]mmm\-yy;@"/>
  </numFmts>
  <fonts count="30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rgb="FFFF0000"/>
      <name val="Arial"/>
      <family val="2"/>
    </font>
    <font>
      <sz val="11"/>
      <color rgb="FFFF0000"/>
      <name val="Calibri"/>
      <family val="2"/>
      <scheme val="minor"/>
    </font>
    <font>
      <sz val="12"/>
      <name val="Arial"/>
      <family val="2"/>
    </font>
    <font>
      <b/>
      <sz val="12"/>
      <name val="Arial"/>
      <family val="2"/>
    </font>
    <font>
      <b/>
      <sz val="12"/>
      <color rgb="FFFF0000"/>
      <name val="Arial"/>
      <family val="2"/>
    </font>
    <font>
      <sz val="9"/>
      <name val="Arial"/>
      <family val="2"/>
    </font>
    <font>
      <sz val="9"/>
      <color theme="1"/>
      <name val="Arial"/>
      <family val="2"/>
    </font>
    <font>
      <b/>
      <sz val="10"/>
      <color rgb="FFFF0000"/>
      <name val="Arial"/>
      <family val="2"/>
    </font>
    <font>
      <b/>
      <sz val="10"/>
      <color theme="1"/>
      <name val="Arial"/>
      <family val="2"/>
    </font>
    <font>
      <sz val="10"/>
      <color theme="1"/>
      <name val="Calibri"/>
      <family val="2"/>
      <scheme val="minor"/>
    </font>
    <font>
      <b/>
      <sz val="9"/>
      <color theme="1"/>
      <name val="Arial"/>
      <family val="2"/>
    </font>
    <font>
      <b/>
      <sz val="11"/>
      <color theme="1"/>
      <name val="Arial"/>
      <family val="2"/>
    </font>
    <font>
      <b/>
      <sz val="10"/>
      <color rgb="FFFF0000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11"/>
      <color rgb="FFFF0000"/>
      <name val="Arial"/>
      <family val="2"/>
    </font>
    <font>
      <sz val="10"/>
      <color theme="2" tint="-0.89999084444715716"/>
      <name val="Arial"/>
      <family val="2"/>
    </font>
    <font>
      <sz val="10"/>
      <color theme="6" tint="-0.249977111117893"/>
      <name val="Arial"/>
      <family val="2"/>
    </font>
    <font>
      <b/>
      <sz val="11"/>
      <name val="Arial"/>
      <family val="2"/>
    </font>
    <font>
      <sz val="8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249977111117893"/>
        <bgColor indexed="64"/>
      </patternFill>
    </fill>
  </fills>
  <borders count="3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9">
    <xf numFmtId="0" fontId="0" fillId="0" borderId="0"/>
    <xf numFmtId="0" fontId="9" fillId="0" borderId="0"/>
    <xf numFmtId="0" fontId="8" fillId="0" borderId="0"/>
    <xf numFmtId="0" fontId="8" fillId="0" borderId="0"/>
    <xf numFmtId="0" fontId="5" fillId="0" borderId="0"/>
    <xf numFmtId="0" fontId="8" fillId="0" borderId="0"/>
    <xf numFmtId="0" fontId="3" fillId="0" borderId="0"/>
    <xf numFmtId="0" fontId="2" fillId="0" borderId="0"/>
    <xf numFmtId="0" fontId="1" fillId="0" borderId="0"/>
  </cellStyleXfs>
  <cellXfs count="472">
    <xf numFmtId="0" fontId="0" fillId="0" borderId="0" xfId="0"/>
    <xf numFmtId="0" fontId="8" fillId="0" borderId="1" xfId="3" applyBorder="1" applyAlignment="1">
      <alignment horizontal="center"/>
    </xf>
    <xf numFmtId="2" fontId="8" fillId="0" borderId="0" xfId="3" applyNumberFormat="1"/>
    <xf numFmtId="0" fontId="13" fillId="0" borderId="0" xfId="3" applyFont="1"/>
    <xf numFmtId="0" fontId="13" fillId="0" borderId="15" xfId="3" applyFont="1" applyBorder="1"/>
    <xf numFmtId="0" fontId="8" fillId="0" borderId="15" xfId="3" applyBorder="1"/>
    <xf numFmtId="0" fontId="16" fillId="0" borderId="8" xfId="3" applyFont="1" applyBorder="1" applyAlignment="1">
      <alignment horizontal="center" vertical="top" wrapText="1"/>
    </xf>
    <xf numFmtId="0" fontId="8" fillId="0" borderId="16" xfId="3" applyBorder="1"/>
    <xf numFmtId="1" fontId="16" fillId="2" borderId="5" xfId="3" applyNumberFormat="1" applyFont="1" applyFill="1" applyBorder="1" applyAlignment="1" applyProtection="1">
      <alignment horizontal="center" vertical="center"/>
      <protection locked="0"/>
    </xf>
    <xf numFmtId="49" fontId="16" fillId="2" borderId="5" xfId="3" applyNumberFormat="1" applyFont="1" applyFill="1" applyBorder="1" applyAlignment="1" applyProtection="1">
      <alignment horizontal="center" vertical="center"/>
      <protection locked="0"/>
    </xf>
    <xf numFmtId="49" fontId="6" fillId="2" borderId="5" xfId="3" applyNumberFormat="1" applyFont="1" applyFill="1" applyBorder="1" applyAlignment="1">
      <alignment horizontal="center" vertical="center"/>
    </xf>
    <xf numFmtId="2" fontId="17" fillId="2" borderId="5" xfId="4" applyNumberFormat="1" applyFont="1" applyFill="1" applyBorder="1" applyAlignment="1">
      <alignment horizontal="center"/>
    </xf>
    <xf numFmtId="0" fontId="17" fillId="2" borderId="5" xfId="4" applyFont="1" applyFill="1" applyBorder="1" applyAlignment="1">
      <alignment horizontal="center"/>
    </xf>
    <xf numFmtId="2" fontId="16" fillId="0" borderId="5" xfId="3" applyNumberFormat="1" applyFont="1" applyBorder="1" applyAlignment="1">
      <alignment horizontal="center" vertical="center"/>
    </xf>
    <xf numFmtId="0" fontId="16" fillId="2" borderId="5" xfId="3" applyFont="1" applyFill="1" applyBorder="1" applyAlignment="1">
      <alignment horizontal="center"/>
    </xf>
    <xf numFmtId="164" fontId="16" fillId="0" borderId="5" xfId="3" applyNumberFormat="1" applyFont="1" applyBorder="1" applyAlignment="1" applyProtection="1">
      <alignment horizontal="center" vertical="center"/>
      <protection locked="0"/>
    </xf>
    <xf numFmtId="2" fontId="16" fillId="0" borderId="5" xfId="3" applyNumberFormat="1" applyFont="1" applyBorder="1" applyAlignment="1">
      <alignment horizontal="center"/>
    </xf>
    <xf numFmtId="4" fontId="16" fillId="0" borderId="5" xfId="3" applyNumberFormat="1" applyFont="1" applyBorder="1" applyAlignment="1">
      <alignment horizontal="center"/>
    </xf>
    <xf numFmtId="0" fontId="8" fillId="0" borderId="6" xfId="3" applyBorder="1"/>
    <xf numFmtId="0" fontId="8" fillId="0" borderId="14" xfId="3" applyBorder="1"/>
    <xf numFmtId="0" fontId="8" fillId="0" borderId="13" xfId="3" applyBorder="1"/>
    <xf numFmtId="4" fontId="8" fillId="6" borderId="3" xfId="3" applyNumberFormat="1" applyFill="1" applyBorder="1" applyAlignment="1">
      <alignment horizontal="center"/>
    </xf>
    <xf numFmtId="4" fontId="8" fillId="6" borderId="7" xfId="3" applyNumberFormat="1" applyFill="1" applyBorder="1" applyAlignment="1">
      <alignment horizontal="center"/>
    </xf>
    <xf numFmtId="4" fontId="8" fillId="6" borderId="4" xfId="3" applyNumberFormat="1" applyFill="1" applyBorder="1" applyAlignment="1">
      <alignment horizontal="center"/>
    </xf>
    <xf numFmtId="4" fontId="8" fillId="6" borderId="2" xfId="3" applyNumberFormat="1" applyFill="1" applyBorder="1" applyAlignment="1">
      <alignment horizontal="center" wrapText="1"/>
    </xf>
    <xf numFmtId="0" fontId="8" fillId="0" borderId="15" xfId="3" applyBorder="1" applyAlignment="1">
      <alignment horizontal="center"/>
    </xf>
    <xf numFmtId="164" fontId="8" fillId="0" borderId="0" xfId="3" applyNumberFormat="1"/>
    <xf numFmtId="4" fontId="8" fillId="0" borderId="2" xfId="3" applyNumberFormat="1" applyBorder="1" applyAlignment="1">
      <alignment horizontal="center"/>
    </xf>
    <xf numFmtId="164" fontId="8" fillId="0" borderId="9" xfId="3" applyNumberFormat="1" applyBorder="1" applyAlignment="1">
      <alignment horizontal="center"/>
    </xf>
    <xf numFmtId="0" fontId="7" fillId="0" borderId="0" xfId="3" applyFont="1"/>
    <xf numFmtId="2" fontId="8" fillId="0" borderId="0" xfId="3" applyNumberFormat="1" applyAlignment="1">
      <alignment horizontal="center"/>
    </xf>
    <xf numFmtId="164" fontId="8" fillId="0" borderId="2" xfId="3" applyNumberFormat="1" applyBorder="1" applyAlignment="1">
      <alignment horizontal="center"/>
    </xf>
    <xf numFmtId="164" fontId="8" fillId="0" borderId="0" xfId="3" applyNumberFormat="1" applyAlignment="1">
      <alignment horizontal="center"/>
    </xf>
    <xf numFmtId="4" fontId="8" fillId="0" borderId="0" xfId="3" applyNumberFormat="1" applyAlignment="1">
      <alignment horizontal="center"/>
    </xf>
    <xf numFmtId="0" fontId="17" fillId="3" borderId="17" xfId="4" applyFont="1" applyFill="1" applyBorder="1" applyAlignment="1">
      <alignment horizontal="left" vertical="center"/>
    </xf>
    <xf numFmtId="0" fontId="17" fillId="3" borderId="18" xfId="4" applyFont="1" applyFill="1" applyBorder="1" applyAlignment="1">
      <alignment vertical="center"/>
    </xf>
    <xf numFmtId="0" fontId="17" fillId="3" borderId="17" xfId="4" applyFont="1" applyFill="1" applyBorder="1" applyAlignment="1">
      <alignment vertical="center"/>
    </xf>
    <xf numFmtId="0" fontId="18" fillId="0" borderId="0" xfId="4" applyFont="1"/>
    <xf numFmtId="0" fontId="5" fillId="0" borderId="0" xfId="4"/>
    <xf numFmtId="0" fontId="20" fillId="0" borderId="0" xfId="4" applyFont="1"/>
    <xf numFmtId="0" fontId="18" fillId="0" borderId="0" xfId="4" applyFont="1" applyAlignment="1">
      <alignment vertical="center"/>
    </xf>
    <xf numFmtId="0" fontId="5" fillId="0" borderId="0" xfId="4" applyAlignment="1">
      <alignment vertical="center"/>
    </xf>
    <xf numFmtId="0" fontId="19" fillId="3" borderId="3" xfId="4" applyFont="1" applyFill="1" applyBorder="1" applyAlignment="1">
      <alignment horizontal="center" vertical="center"/>
    </xf>
    <xf numFmtId="0" fontId="7" fillId="3" borderId="2" xfId="5" applyFont="1" applyFill="1" applyBorder="1" applyAlignment="1">
      <alignment horizontal="center" vertical="center"/>
    </xf>
    <xf numFmtId="0" fontId="18" fillId="3" borderId="0" xfId="4" applyFont="1" applyFill="1" applyAlignment="1">
      <alignment vertical="center"/>
    </xf>
    <xf numFmtId="0" fontId="20" fillId="3" borderId="0" xfId="4" applyFont="1" applyFill="1" applyAlignment="1">
      <alignment vertical="center"/>
    </xf>
    <xf numFmtId="0" fontId="19" fillId="0" borderId="2" xfId="4" applyFont="1" applyBorder="1" applyAlignment="1">
      <alignment horizontal="center" vertical="center"/>
    </xf>
    <xf numFmtId="0" fontId="20" fillId="0" borderId="0" xfId="4" applyFont="1" applyAlignment="1">
      <alignment vertical="center"/>
    </xf>
    <xf numFmtId="0" fontId="19" fillId="4" borderId="2" xfId="4" applyFont="1" applyFill="1" applyBorder="1" applyAlignment="1">
      <alignment horizontal="center" vertical="center"/>
    </xf>
    <xf numFmtId="0" fontId="18" fillId="4" borderId="0" xfId="4" applyFont="1" applyFill="1" applyAlignment="1">
      <alignment vertical="center"/>
    </xf>
    <xf numFmtId="0" fontId="23" fillId="4" borderId="0" xfId="4" applyFont="1" applyFill="1" applyAlignment="1">
      <alignment vertical="center"/>
    </xf>
    <xf numFmtId="0" fontId="20" fillId="4" borderId="0" xfId="4" applyFont="1" applyFill="1" applyAlignment="1">
      <alignment vertical="center"/>
    </xf>
    <xf numFmtId="0" fontId="17" fillId="0" borderId="2" xfId="4" applyFont="1" applyBorder="1" applyAlignment="1">
      <alignment horizontal="left" vertical="center"/>
    </xf>
    <xf numFmtId="2" fontId="16" fillId="0" borderId="2" xfId="4" applyNumberFormat="1" applyFont="1" applyBorder="1" applyAlignment="1">
      <alignment horizontal="right" vertical="center"/>
    </xf>
    <xf numFmtId="0" fontId="12" fillId="0" borderId="0" xfId="4" applyFont="1" applyAlignment="1">
      <alignment vertical="center"/>
    </xf>
    <xf numFmtId="4" fontId="16" fillId="0" borderId="2" xfId="4" applyNumberFormat="1" applyFont="1" applyBorder="1" applyAlignment="1">
      <alignment horizontal="right" vertical="center"/>
    </xf>
    <xf numFmtId="0" fontId="19" fillId="0" borderId="4" xfId="4" applyFont="1" applyBorder="1" applyAlignment="1">
      <alignment horizontal="center" vertical="center"/>
    </xf>
    <xf numFmtId="2" fontId="10" fillId="4" borderId="0" xfId="4" applyNumberFormat="1" applyFont="1" applyFill="1" applyAlignment="1">
      <alignment vertical="center"/>
    </xf>
    <xf numFmtId="2" fontId="17" fillId="0" borderId="2" xfId="4" applyNumberFormat="1" applyFont="1" applyBorder="1" applyAlignment="1">
      <alignment horizontal="right" vertical="center"/>
    </xf>
    <xf numFmtId="0" fontId="21" fillId="0" borderId="2" xfId="4" applyFont="1" applyBorder="1" applyAlignment="1">
      <alignment horizontal="center" vertical="center"/>
    </xf>
    <xf numFmtId="0" fontId="21" fillId="0" borderId="4" xfId="4" applyFont="1" applyBorder="1" applyAlignment="1">
      <alignment horizontal="center" vertical="center"/>
    </xf>
    <xf numFmtId="4" fontId="17" fillId="0" borderId="2" xfId="4" applyNumberFormat="1" applyFont="1" applyBorder="1" applyAlignment="1">
      <alignment horizontal="right" vertical="center"/>
    </xf>
    <xf numFmtId="0" fontId="24" fillId="4" borderId="0" xfId="4" applyFont="1" applyFill="1" applyAlignment="1">
      <alignment vertical="center"/>
    </xf>
    <xf numFmtId="0" fontId="17" fillId="7" borderId="2" xfId="4" applyFont="1" applyFill="1" applyBorder="1" applyAlignment="1">
      <alignment horizontal="left" vertical="center"/>
    </xf>
    <xf numFmtId="0" fontId="19" fillId="7" borderId="2" xfId="4" applyFont="1" applyFill="1" applyBorder="1" applyAlignment="1">
      <alignment horizontal="center" vertical="center"/>
    </xf>
    <xf numFmtId="4" fontId="8" fillId="7" borderId="2" xfId="4" applyNumberFormat="1" applyFont="1" applyFill="1" applyBorder="1" applyAlignment="1">
      <alignment horizontal="right" vertical="center"/>
    </xf>
    <xf numFmtId="0" fontId="7" fillId="4" borderId="2" xfId="4" applyFont="1" applyFill="1" applyBorder="1" applyAlignment="1">
      <alignment horizontal="center" vertical="center"/>
    </xf>
    <xf numFmtId="4" fontId="16" fillId="7" borderId="2" xfId="4" applyNumberFormat="1" applyFont="1" applyFill="1" applyBorder="1" applyAlignment="1">
      <alignment horizontal="right" vertical="center"/>
    </xf>
    <xf numFmtId="2" fontId="21" fillId="4" borderId="2" xfId="4" applyNumberFormat="1" applyFont="1" applyFill="1" applyBorder="1" applyAlignment="1">
      <alignment horizontal="center" vertical="center"/>
    </xf>
    <xf numFmtId="0" fontId="17" fillId="0" borderId="2" xfId="4" applyFont="1" applyBorder="1" applyAlignment="1">
      <alignment horizontal="center" vertical="center"/>
    </xf>
    <xf numFmtId="0" fontId="17" fillId="7" borderId="3" xfId="4" applyFont="1" applyFill="1" applyBorder="1" applyAlignment="1">
      <alignment horizontal="left" vertical="center"/>
    </xf>
    <xf numFmtId="2" fontId="17" fillId="7" borderId="2" xfId="4" applyNumberFormat="1" applyFont="1" applyFill="1" applyBorder="1" applyAlignment="1">
      <alignment horizontal="right" vertical="center"/>
    </xf>
    <xf numFmtId="0" fontId="21" fillId="7" borderId="2" xfId="4" applyFont="1" applyFill="1" applyBorder="1" applyAlignment="1">
      <alignment horizontal="center" vertical="center"/>
    </xf>
    <xf numFmtId="0" fontId="5" fillId="0" borderId="0" xfId="4" applyAlignment="1">
      <alignment horizontal="left"/>
    </xf>
    <xf numFmtId="2" fontId="19" fillId="0" borderId="2" xfId="4" applyNumberFormat="1" applyFont="1" applyBorder="1" applyAlignment="1">
      <alignment horizontal="center" vertical="center"/>
    </xf>
    <xf numFmtId="2" fontId="7" fillId="4" borderId="2" xfId="4" applyNumberFormat="1" applyFont="1" applyFill="1" applyBorder="1" applyAlignment="1">
      <alignment horizontal="center" vertical="center"/>
    </xf>
    <xf numFmtId="4" fontId="7" fillId="4" borderId="2" xfId="4" applyNumberFormat="1" applyFont="1" applyFill="1" applyBorder="1" applyAlignment="1">
      <alignment horizontal="center" vertical="center"/>
    </xf>
    <xf numFmtId="0" fontId="17" fillId="3" borderId="8" xfId="4" applyFont="1" applyFill="1" applyBorder="1" applyAlignment="1">
      <alignment vertical="center"/>
    </xf>
    <xf numFmtId="0" fontId="8" fillId="0" borderId="0" xfId="5" applyAlignment="1">
      <alignment vertical="center"/>
    </xf>
    <xf numFmtId="0" fontId="8" fillId="0" borderId="0" xfId="5"/>
    <xf numFmtId="0" fontId="26" fillId="0" borderId="5" xfId="5" applyFont="1" applyBorder="1" applyAlignment="1">
      <alignment horizontal="center"/>
    </xf>
    <xf numFmtId="49" fontId="26" fillId="0" borderId="5" xfId="5" applyNumberFormat="1" applyFont="1" applyBorder="1" applyAlignment="1">
      <alignment horizontal="center"/>
    </xf>
    <xf numFmtId="3" fontId="26" fillId="0" borderId="5" xfId="5" applyNumberFormat="1" applyFont="1" applyBorder="1" applyAlignment="1">
      <alignment horizontal="center"/>
    </xf>
    <xf numFmtId="4" fontId="26" fillId="0" borderId="5" xfId="5" applyNumberFormat="1" applyFont="1" applyBorder="1" applyAlignment="1">
      <alignment horizontal="center"/>
    </xf>
    <xf numFmtId="0" fontId="27" fillId="0" borderId="0" xfId="5" applyFont="1"/>
    <xf numFmtId="0" fontId="26" fillId="7" borderId="5" xfId="5" applyFont="1" applyFill="1" applyBorder="1" applyAlignment="1">
      <alignment horizontal="center"/>
    </xf>
    <xf numFmtId="49" fontId="26" fillId="7" borderId="5" xfId="5" applyNumberFormat="1" applyFont="1" applyFill="1" applyBorder="1" applyAlignment="1">
      <alignment horizontal="center"/>
    </xf>
    <xf numFmtId="3" fontId="26" fillId="7" borderId="5" xfId="5" applyNumberFormat="1" applyFont="1" applyFill="1" applyBorder="1" applyAlignment="1">
      <alignment horizontal="center"/>
    </xf>
    <xf numFmtId="4" fontId="26" fillId="7" borderId="5" xfId="5" applyNumberFormat="1" applyFont="1" applyFill="1" applyBorder="1" applyAlignment="1">
      <alignment horizontal="center"/>
    </xf>
    <xf numFmtId="0" fontId="8" fillId="2" borderId="0" xfId="5" applyFill="1"/>
    <xf numFmtId="49" fontId="26" fillId="0" borderId="12" xfId="5" applyNumberFormat="1" applyFont="1" applyBorder="1" applyAlignment="1">
      <alignment horizontal="center"/>
    </xf>
    <xf numFmtId="3" fontId="26" fillId="0" borderId="12" xfId="5" applyNumberFormat="1" applyFont="1" applyBorder="1" applyAlignment="1">
      <alignment horizontal="center"/>
    </xf>
    <xf numFmtId="3" fontId="26" fillId="7" borderId="13" xfId="5" applyNumberFormat="1" applyFont="1" applyFill="1" applyBorder="1" applyAlignment="1">
      <alignment horizontal="center"/>
    </xf>
    <xf numFmtId="4" fontId="26" fillId="0" borderId="13" xfId="5" applyNumberFormat="1" applyFont="1" applyBorder="1" applyAlignment="1">
      <alignment horizontal="center"/>
    </xf>
    <xf numFmtId="4" fontId="26" fillId="0" borderId="12" xfId="5" applyNumberFormat="1" applyFont="1" applyBorder="1" applyAlignment="1">
      <alignment horizontal="center"/>
    </xf>
    <xf numFmtId="3" fontId="26" fillId="0" borderId="13" xfId="5" applyNumberFormat="1" applyFont="1" applyBorder="1" applyAlignment="1">
      <alignment horizontal="center"/>
    </xf>
    <xf numFmtId="4" fontId="7" fillId="0" borderId="2" xfId="5" applyNumberFormat="1" applyFont="1" applyBorder="1" applyAlignment="1">
      <alignment horizontal="center" vertical="center"/>
    </xf>
    <xf numFmtId="0" fontId="27" fillId="2" borderId="0" xfId="5" applyFont="1" applyFill="1"/>
    <xf numFmtId="0" fontId="11" fillId="0" borderId="0" xfId="5" applyFont="1"/>
    <xf numFmtId="0" fontId="11" fillId="2" borderId="0" xfId="5" applyFont="1" applyFill="1"/>
    <xf numFmtId="0" fontId="26" fillId="0" borderId="15" xfId="5" applyFont="1" applyBorder="1" applyAlignment="1">
      <alignment horizontal="center"/>
    </xf>
    <xf numFmtId="4" fontId="26" fillId="0" borderId="0" xfId="5" applyNumberFormat="1" applyFont="1" applyBorder="1" applyAlignment="1">
      <alignment horizontal="center"/>
    </xf>
    <xf numFmtId="0" fontId="26" fillId="0" borderId="12" xfId="5" applyFont="1" applyBorder="1" applyAlignment="1">
      <alignment horizontal="center"/>
    </xf>
    <xf numFmtId="0" fontId="21" fillId="0" borderId="4" xfId="4" applyFont="1" applyBorder="1" applyAlignment="1">
      <alignment horizontal="center" vertical="center"/>
    </xf>
    <xf numFmtId="0" fontId="17" fillId="0" borderId="3" xfId="4" applyFont="1" applyBorder="1" applyAlignment="1">
      <alignment horizontal="left" vertical="center"/>
    </xf>
    <xf numFmtId="4" fontId="16" fillId="0" borderId="3" xfId="4" applyNumberFormat="1" applyFont="1" applyBorder="1" applyAlignment="1">
      <alignment horizontal="right" vertical="center"/>
    </xf>
    <xf numFmtId="0" fontId="17" fillId="0" borderId="2" xfId="4" applyFont="1" applyBorder="1" applyAlignment="1">
      <alignment horizontal="left" vertical="center" wrapText="1"/>
    </xf>
    <xf numFmtId="2" fontId="16" fillId="0" borderId="4" xfId="4" applyNumberFormat="1" applyFont="1" applyBorder="1" applyAlignment="1">
      <alignment horizontal="right" vertical="center"/>
    </xf>
    <xf numFmtId="0" fontId="5" fillId="0" borderId="0" xfId="4" applyBorder="1" applyAlignment="1">
      <alignment vertical="center"/>
    </xf>
    <xf numFmtId="0" fontId="12" fillId="0" borderId="0" xfId="4" applyFont="1" applyBorder="1" applyAlignment="1">
      <alignment vertical="center"/>
    </xf>
    <xf numFmtId="0" fontId="20" fillId="4" borderId="0" xfId="4" applyFont="1" applyFill="1" applyBorder="1" applyAlignment="1">
      <alignment vertical="center"/>
    </xf>
    <xf numFmtId="0" fontId="23" fillId="4" borderId="0" xfId="4" applyFont="1" applyFill="1" applyBorder="1" applyAlignment="1">
      <alignment vertical="center"/>
    </xf>
    <xf numFmtId="4" fontId="16" fillId="7" borderId="3" xfId="4" applyNumberFormat="1" applyFont="1" applyFill="1" applyBorder="1" applyAlignment="1">
      <alignment horizontal="right" vertical="center"/>
    </xf>
    <xf numFmtId="0" fontId="21" fillId="7" borderId="4" xfId="4" applyFont="1" applyFill="1" applyBorder="1" applyAlignment="1">
      <alignment horizontal="center" vertical="center"/>
    </xf>
    <xf numFmtId="0" fontId="17" fillId="3" borderId="17" xfId="4" applyFont="1" applyFill="1" applyBorder="1" applyAlignment="1">
      <alignment horizontal="left" vertical="center"/>
    </xf>
    <xf numFmtId="0" fontId="21" fillId="0" borderId="4" xfId="4" applyFont="1" applyBorder="1" applyAlignment="1">
      <alignment horizontal="center" vertical="center"/>
    </xf>
    <xf numFmtId="0" fontId="17" fillId="0" borderId="3" xfId="4" applyFont="1" applyBorder="1" applyAlignment="1">
      <alignment horizontal="left" vertical="center" wrapText="1"/>
    </xf>
    <xf numFmtId="0" fontId="19" fillId="3" borderId="10" xfId="4" applyFont="1" applyFill="1" applyBorder="1" applyAlignment="1">
      <alignment horizontal="center" vertical="center"/>
    </xf>
    <xf numFmtId="2" fontId="17" fillId="0" borderId="7" xfId="4" applyNumberFormat="1" applyFont="1" applyBorder="1" applyAlignment="1">
      <alignment horizontal="right" vertical="center"/>
    </xf>
    <xf numFmtId="2" fontId="16" fillId="0" borderId="3" xfId="4" applyNumberFormat="1" applyFont="1" applyBorder="1" applyAlignment="1">
      <alignment horizontal="right" vertical="center"/>
    </xf>
    <xf numFmtId="4" fontId="8" fillId="7" borderId="7" xfId="4" applyNumberFormat="1" applyFont="1" applyFill="1" applyBorder="1" applyAlignment="1">
      <alignment horizontal="right" vertical="center"/>
    </xf>
    <xf numFmtId="0" fontId="17" fillId="0" borderId="3" xfId="4" applyFont="1" applyBorder="1" applyAlignment="1">
      <alignment horizontal="left" vertical="center" wrapText="1"/>
    </xf>
    <xf numFmtId="0" fontId="8" fillId="0" borderId="0" xfId="3" applyBorder="1" applyAlignment="1">
      <alignment horizontal="center"/>
    </xf>
    <xf numFmtId="0" fontId="8" fillId="0" borderId="18" xfId="3" applyBorder="1" applyAlignment="1">
      <alignment horizontal="center"/>
    </xf>
    <xf numFmtId="2" fontId="16" fillId="0" borderId="7" xfId="4" applyNumberFormat="1" applyFont="1" applyBorder="1" applyAlignment="1">
      <alignment horizontal="right" vertical="center"/>
    </xf>
    <xf numFmtId="0" fontId="17" fillId="7" borderId="3" xfId="4" applyFont="1" applyFill="1" applyBorder="1" applyAlignment="1">
      <alignment horizontal="left" vertical="center"/>
    </xf>
    <xf numFmtId="0" fontId="17" fillId="0" borderId="3" xfId="4" applyFont="1" applyBorder="1" applyAlignment="1">
      <alignment horizontal="center" vertical="center"/>
    </xf>
    <xf numFmtId="0" fontId="17" fillId="3" borderId="17" xfId="4" applyFont="1" applyFill="1" applyBorder="1" applyAlignment="1">
      <alignment horizontal="left" vertical="center"/>
    </xf>
    <xf numFmtId="0" fontId="19" fillId="3" borderId="10" xfId="4" applyFont="1" applyFill="1" applyBorder="1" applyAlignment="1">
      <alignment horizontal="center" vertical="center" wrapText="1"/>
    </xf>
    <xf numFmtId="0" fontId="17" fillId="3" borderId="17" xfId="4" applyFont="1" applyFill="1" applyBorder="1" applyAlignment="1">
      <alignment horizontal="left" vertical="center"/>
    </xf>
    <xf numFmtId="0" fontId="19" fillId="3" borderId="10" xfId="4" applyFont="1" applyFill="1" applyBorder="1" applyAlignment="1">
      <alignment horizontal="center" vertical="center" wrapText="1"/>
    </xf>
    <xf numFmtId="0" fontId="21" fillId="0" borderId="4" xfId="4" applyFont="1" applyBorder="1" applyAlignment="1">
      <alignment horizontal="center" vertical="center"/>
    </xf>
    <xf numFmtId="0" fontId="17" fillId="7" borderId="3" xfId="4" applyFont="1" applyFill="1" applyBorder="1" applyAlignment="1">
      <alignment horizontal="left" vertical="center"/>
    </xf>
    <xf numFmtId="0" fontId="17" fillId="0" borderId="3" xfId="4" applyFont="1" applyBorder="1" applyAlignment="1">
      <alignment horizontal="center" vertical="center"/>
    </xf>
    <xf numFmtId="0" fontId="4" fillId="0" borderId="0" xfId="4" applyFont="1" applyAlignment="1">
      <alignment vertical="center"/>
    </xf>
    <xf numFmtId="2" fontId="17" fillId="0" borderId="3" xfId="4" applyNumberFormat="1" applyFont="1" applyBorder="1" applyAlignment="1">
      <alignment horizontal="right" vertical="center"/>
    </xf>
    <xf numFmtId="0" fontId="17" fillId="7" borderId="3" xfId="4" applyFont="1" applyFill="1" applyBorder="1" applyAlignment="1">
      <alignment horizontal="left" vertical="center"/>
    </xf>
    <xf numFmtId="0" fontId="17" fillId="0" borderId="3" xfId="4" applyFont="1" applyBorder="1" applyAlignment="1">
      <alignment horizontal="left" vertical="center" wrapText="1"/>
    </xf>
    <xf numFmtId="0" fontId="17" fillId="7" borderId="3" xfId="4" applyFont="1" applyFill="1" applyBorder="1" applyAlignment="1">
      <alignment horizontal="left" vertical="center"/>
    </xf>
    <xf numFmtId="4" fontId="16" fillId="0" borderId="7" xfId="4" applyNumberFormat="1" applyFont="1" applyBorder="1" applyAlignment="1">
      <alignment horizontal="right" vertical="center"/>
    </xf>
    <xf numFmtId="0" fontId="19" fillId="7" borderId="4" xfId="4" applyFont="1" applyFill="1" applyBorder="1" applyAlignment="1">
      <alignment horizontal="center" vertical="center"/>
    </xf>
    <xf numFmtId="0" fontId="17" fillId="7" borderId="3" xfId="4" applyFont="1" applyFill="1" applyBorder="1" applyAlignment="1">
      <alignment horizontal="left" vertical="center"/>
    </xf>
    <xf numFmtId="0" fontId="17" fillId="0" borderId="3" xfId="4" applyFont="1" applyBorder="1" applyAlignment="1">
      <alignment horizontal="center" vertical="center"/>
    </xf>
    <xf numFmtId="0" fontId="21" fillId="0" borderId="4" xfId="4" applyFont="1" applyBorder="1" applyAlignment="1">
      <alignment horizontal="center" vertical="center"/>
    </xf>
    <xf numFmtId="0" fontId="17" fillId="0" borderId="3" xfId="4" applyFont="1" applyBorder="1" applyAlignment="1">
      <alignment horizontal="left" vertical="center" wrapText="1"/>
    </xf>
    <xf numFmtId="0" fontId="17" fillId="3" borderId="17" xfId="4" applyFont="1" applyFill="1" applyBorder="1" applyAlignment="1">
      <alignment horizontal="left" vertical="center"/>
    </xf>
    <xf numFmtId="0" fontId="19" fillId="3" borderId="10" xfId="4" applyFont="1" applyFill="1" applyBorder="1" applyAlignment="1">
      <alignment horizontal="center" vertical="center" wrapText="1"/>
    </xf>
    <xf numFmtId="4" fontId="8" fillId="7" borderId="3" xfId="4" applyNumberFormat="1" applyFont="1" applyFill="1" applyBorder="1" applyAlignment="1">
      <alignment horizontal="right" vertical="center"/>
    </xf>
    <xf numFmtId="0" fontId="17" fillId="3" borderId="17" xfId="4" applyFont="1" applyFill="1" applyBorder="1" applyAlignment="1">
      <alignment horizontal="left" vertical="center"/>
    </xf>
    <xf numFmtId="0" fontId="19" fillId="3" borderId="10" xfId="4" applyFont="1" applyFill="1" applyBorder="1" applyAlignment="1">
      <alignment horizontal="center" vertical="center" wrapText="1"/>
    </xf>
    <xf numFmtId="0" fontId="17" fillId="0" borderId="3" xfId="4" applyFont="1" applyBorder="1" applyAlignment="1">
      <alignment horizontal="left" vertical="center" wrapText="1"/>
    </xf>
    <xf numFmtId="0" fontId="17" fillId="7" borderId="3" xfId="4" applyFont="1" applyFill="1" applyBorder="1" applyAlignment="1">
      <alignment horizontal="left" vertical="center"/>
    </xf>
    <xf numFmtId="0" fontId="17" fillId="7" borderId="3" xfId="4" applyFont="1" applyFill="1" applyBorder="1" applyAlignment="1">
      <alignment horizontal="left" vertical="center"/>
    </xf>
    <xf numFmtId="0" fontId="17" fillId="7" borderId="3" xfId="4" applyFont="1" applyFill="1" applyBorder="1" applyAlignment="1">
      <alignment horizontal="left" vertical="center" wrapText="1"/>
    </xf>
    <xf numFmtId="0" fontId="17" fillId="7" borderId="7" xfId="4" applyFont="1" applyFill="1" applyBorder="1" applyAlignment="1">
      <alignment horizontal="left" vertical="center" wrapText="1"/>
    </xf>
    <xf numFmtId="0" fontId="17" fillId="0" borderId="3" xfId="4" applyFont="1" applyBorder="1" applyAlignment="1">
      <alignment horizontal="left" vertical="center" wrapText="1"/>
    </xf>
    <xf numFmtId="0" fontId="17" fillId="3" borderId="17" xfId="4" applyFont="1" applyFill="1" applyBorder="1" applyAlignment="1">
      <alignment horizontal="left" vertical="center"/>
    </xf>
    <xf numFmtId="0" fontId="17" fillId="7" borderId="3" xfId="4" applyFont="1" applyFill="1" applyBorder="1" applyAlignment="1">
      <alignment horizontal="left" vertical="center"/>
    </xf>
    <xf numFmtId="0" fontId="19" fillId="3" borderId="10" xfId="4" applyFont="1" applyFill="1" applyBorder="1" applyAlignment="1">
      <alignment horizontal="center" vertical="center"/>
    </xf>
    <xf numFmtId="0" fontId="17" fillId="7" borderId="3" xfId="4" applyFont="1" applyFill="1" applyBorder="1" applyAlignment="1">
      <alignment horizontal="left" vertical="center"/>
    </xf>
    <xf numFmtId="0" fontId="17" fillId="0" borderId="3" xfId="4" applyFont="1" applyBorder="1" applyAlignment="1">
      <alignment horizontal="center" vertical="center"/>
    </xf>
    <xf numFmtId="0" fontId="17" fillId="0" borderId="3" xfId="4" applyFont="1" applyBorder="1" applyAlignment="1">
      <alignment horizontal="left" vertical="center" wrapText="1"/>
    </xf>
    <xf numFmtId="0" fontId="18" fillId="0" borderId="15" xfId="4" applyFont="1" applyBorder="1" applyAlignment="1">
      <alignment vertical="center"/>
    </xf>
    <xf numFmtId="0" fontId="17" fillId="3" borderId="17" xfId="4" applyFont="1" applyFill="1" applyBorder="1" applyAlignment="1">
      <alignment horizontal="left" vertical="center"/>
    </xf>
    <xf numFmtId="0" fontId="19" fillId="3" borderId="10" xfId="4" applyFont="1" applyFill="1" applyBorder="1" applyAlignment="1">
      <alignment horizontal="center" vertical="center" wrapText="1"/>
    </xf>
    <xf numFmtId="0" fontId="21" fillId="0" borderId="4" xfId="4" applyFont="1" applyBorder="1" applyAlignment="1">
      <alignment horizontal="center" vertical="center"/>
    </xf>
    <xf numFmtId="0" fontId="17" fillId="0" borderId="3" xfId="4" applyFont="1" applyBorder="1" applyAlignment="1">
      <alignment horizontal="left" vertical="center" wrapText="1"/>
    </xf>
    <xf numFmtId="0" fontId="18" fillId="0" borderId="0" xfId="4" applyFont="1" applyBorder="1" applyAlignment="1">
      <alignment vertical="center"/>
    </xf>
    <xf numFmtId="0" fontId="17" fillId="0" borderId="2" xfId="4" applyFont="1" applyBorder="1" applyAlignment="1">
      <alignment horizontal="center" vertical="center" wrapText="1"/>
    </xf>
    <xf numFmtId="4" fontId="8" fillId="6" borderId="2" xfId="3" applyNumberFormat="1" applyFill="1" applyBorder="1" applyAlignment="1">
      <alignment horizontal="center"/>
    </xf>
    <xf numFmtId="0" fontId="8" fillId="0" borderId="0" xfId="3"/>
    <xf numFmtId="0" fontId="8" fillId="0" borderId="18" xfId="3" applyBorder="1"/>
    <xf numFmtId="0" fontId="8" fillId="0" borderId="1" xfId="3" applyBorder="1"/>
    <xf numFmtId="0" fontId="8" fillId="0" borderId="0" xfId="3" applyAlignment="1">
      <alignment horizontal="center"/>
    </xf>
    <xf numFmtId="0" fontId="16" fillId="0" borderId="2" xfId="3" applyFont="1" applyBorder="1" applyAlignment="1">
      <alignment horizontal="center" vertical="center" wrapText="1"/>
    </xf>
    <xf numFmtId="0" fontId="16" fillId="5" borderId="2" xfId="3" applyFont="1" applyFill="1" applyBorder="1" applyAlignment="1">
      <alignment horizontal="center" vertical="center"/>
    </xf>
    <xf numFmtId="0" fontId="26" fillId="0" borderId="14" xfId="5" applyFont="1" applyBorder="1" applyAlignment="1">
      <alignment horizontal="center"/>
    </xf>
    <xf numFmtId="4" fontId="26" fillId="0" borderId="21" xfId="5" applyNumberFormat="1" applyFont="1" applyBorder="1" applyAlignment="1">
      <alignment horizontal="center"/>
    </xf>
    <xf numFmtId="0" fontId="16" fillId="5" borderId="2" xfId="3" applyFont="1" applyFill="1" applyBorder="1" applyAlignment="1">
      <alignment horizontal="center" vertical="center"/>
    </xf>
    <xf numFmtId="0" fontId="16" fillId="0" borderId="2" xfId="3" applyFont="1" applyBorder="1" applyAlignment="1">
      <alignment horizontal="center" vertical="center" wrapText="1"/>
    </xf>
    <xf numFmtId="0" fontId="16" fillId="5" borderId="4" xfId="3" applyFont="1" applyFill="1" applyBorder="1" applyAlignment="1">
      <alignment horizontal="center" vertical="center"/>
    </xf>
    <xf numFmtId="0" fontId="8" fillId="0" borderId="0" xfId="3" applyAlignment="1">
      <alignment horizontal="center"/>
    </xf>
    <xf numFmtId="0" fontId="8" fillId="0" borderId="18" xfId="3" applyBorder="1"/>
    <xf numFmtId="0" fontId="8" fillId="0" borderId="1" xfId="3" applyBorder="1"/>
    <xf numFmtId="4" fontId="8" fillId="6" borderId="2" xfId="3" applyNumberFormat="1" applyFill="1" applyBorder="1" applyAlignment="1">
      <alignment horizontal="center"/>
    </xf>
    <xf numFmtId="0" fontId="8" fillId="0" borderId="0" xfId="3"/>
    <xf numFmtId="4" fontId="8" fillId="6" borderId="2" xfId="3" applyNumberFormat="1" applyFill="1" applyBorder="1" applyAlignment="1">
      <alignment horizontal="center"/>
    </xf>
    <xf numFmtId="0" fontId="8" fillId="0" borderId="0" xfId="3"/>
    <xf numFmtId="0" fontId="8" fillId="0" borderId="0" xfId="3" applyAlignment="1">
      <alignment horizontal="center"/>
    </xf>
    <xf numFmtId="4" fontId="8" fillId="0" borderId="9" xfId="3" applyNumberFormat="1" applyBorder="1" applyAlignment="1">
      <alignment horizontal="center"/>
    </xf>
    <xf numFmtId="2" fontId="8" fillId="6" borderId="0" xfId="3" applyNumberFormat="1" applyFill="1" applyBorder="1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/>
    </xf>
    <xf numFmtId="0" fontId="8" fillId="0" borderId="1" xfId="0" applyFont="1" applyBorder="1"/>
    <xf numFmtId="2" fontId="0" fillId="0" borderId="0" xfId="0" applyNumberFormat="1"/>
    <xf numFmtId="0" fontId="13" fillId="0" borderId="15" xfId="0" applyFont="1" applyBorder="1"/>
    <xf numFmtId="0" fontId="13" fillId="0" borderId="0" xfId="0" applyFont="1"/>
    <xf numFmtId="0" fontId="0" fillId="0" borderId="16" xfId="0" applyBorder="1"/>
    <xf numFmtId="1" fontId="16" fillId="2" borderId="5" xfId="0" applyNumberFormat="1" applyFont="1" applyFill="1" applyBorder="1" applyAlignment="1" applyProtection="1">
      <alignment horizontal="center" vertical="center"/>
      <protection locked="0"/>
    </xf>
    <xf numFmtId="0" fontId="16" fillId="2" borderId="5" xfId="0" applyFont="1" applyFill="1" applyBorder="1" applyAlignment="1">
      <alignment horizontal="center" vertical="center"/>
    </xf>
    <xf numFmtId="49" fontId="16" fillId="2" borderId="5" xfId="0" applyNumberFormat="1" applyFont="1" applyFill="1" applyBorder="1" applyAlignment="1" applyProtection="1">
      <alignment horizontal="center" vertical="center"/>
      <protection locked="0"/>
    </xf>
    <xf numFmtId="49" fontId="16" fillId="2" borderId="22" xfId="0" applyNumberFormat="1" applyFont="1" applyFill="1" applyBorder="1" applyAlignment="1" applyProtection="1">
      <alignment horizontal="center" vertical="center"/>
      <protection locked="0"/>
    </xf>
    <xf numFmtId="4" fontId="16" fillId="2" borderId="22" xfId="6" applyNumberFormat="1" applyFont="1" applyFill="1" applyBorder="1" applyAlignment="1">
      <alignment horizontal="center"/>
    </xf>
    <xf numFmtId="2" fontId="16" fillId="2" borderId="5" xfId="6" applyNumberFormat="1" applyFont="1" applyFill="1" applyBorder="1" applyAlignment="1">
      <alignment horizontal="center"/>
    </xf>
    <xf numFmtId="2" fontId="16" fillId="2" borderId="22" xfId="0" applyNumberFormat="1" applyFont="1" applyFill="1" applyBorder="1" applyAlignment="1">
      <alignment horizontal="center" vertical="center"/>
    </xf>
    <xf numFmtId="4" fontId="16" fillId="2" borderId="5" xfId="0" applyNumberFormat="1" applyFont="1" applyFill="1" applyBorder="1" applyAlignment="1" applyProtection="1">
      <alignment horizontal="center" vertical="center"/>
      <protection locked="0"/>
    </xf>
    <xf numFmtId="2" fontId="16" fillId="0" borderId="5" xfId="0" applyNumberFormat="1" applyFont="1" applyBorder="1" applyAlignment="1">
      <alignment horizontal="center" vertical="center"/>
    </xf>
    <xf numFmtId="0" fontId="16" fillId="2" borderId="5" xfId="0" applyFont="1" applyFill="1" applyBorder="1" applyAlignment="1">
      <alignment horizontal="center"/>
    </xf>
    <xf numFmtId="164" fontId="16" fillId="0" borderId="5" xfId="0" applyNumberFormat="1" applyFont="1" applyBorder="1" applyAlignment="1" applyProtection="1">
      <alignment horizontal="center" vertical="center"/>
      <protection locked="0"/>
    </xf>
    <xf numFmtId="2" fontId="16" fillId="0" borderId="5" xfId="0" applyNumberFormat="1" applyFont="1" applyBorder="1" applyAlignment="1">
      <alignment horizontal="center"/>
    </xf>
    <xf numFmtId="2" fontId="16" fillId="0" borderId="22" xfId="0" applyNumberFormat="1" applyFont="1" applyBorder="1" applyAlignment="1">
      <alignment horizontal="center" vertical="center"/>
    </xf>
    <xf numFmtId="0" fontId="8" fillId="0" borderId="14" xfId="0" applyFont="1" applyBorder="1"/>
    <xf numFmtId="0" fontId="8" fillId="0" borderId="6" xfId="0" applyFont="1" applyBorder="1"/>
    <xf numFmtId="4" fontId="16" fillId="2" borderId="5" xfId="6" applyNumberFormat="1" applyFont="1" applyFill="1" applyBorder="1" applyAlignment="1">
      <alignment horizontal="center"/>
    </xf>
    <xf numFmtId="2" fontId="16" fillId="2" borderId="5" xfId="0" applyNumberFormat="1" applyFont="1" applyFill="1" applyBorder="1" applyAlignment="1">
      <alignment horizontal="center" vertical="center"/>
    </xf>
    <xf numFmtId="2" fontId="16" fillId="2" borderId="12" xfId="6" applyNumberFormat="1" applyFont="1" applyFill="1" applyBorder="1" applyAlignment="1">
      <alignment horizontal="center"/>
    </xf>
    <xf numFmtId="0" fontId="8" fillId="0" borderId="23" xfId="0" applyFont="1" applyBorder="1"/>
    <xf numFmtId="2" fontId="16" fillId="2" borderId="13" xfId="6" applyNumberFormat="1" applyFont="1" applyFill="1" applyBorder="1" applyAlignment="1">
      <alignment horizontal="center"/>
    </xf>
    <xf numFmtId="2" fontId="16" fillId="2" borderId="24" xfId="6" applyNumberFormat="1" applyFont="1" applyFill="1" applyBorder="1" applyAlignment="1">
      <alignment horizontal="center"/>
    </xf>
    <xf numFmtId="4" fontId="0" fillId="6" borderId="2" xfId="0" applyNumberFormat="1" applyFill="1" applyBorder="1" applyAlignment="1">
      <alignment horizontal="center"/>
    </xf>
    <xf numFmtId="4" fontId="0" fillId="6" borderId="3" xfId="0" applyNumberFormat="1" applyFill="1" applyBorder="1"/>
    <xf numFmtId="4" fontId="0" fillId="6" borderId="7" xfId="0" applyNumberFormat="1" applyFill="1" applyBorder="1"/>
    <xf numFmtId="4" fontId="8" fillId="6" borderId="2" xfId="0" applyNumberFormat="1" applyFont="1" applyFill="1" applyBorder="1"/>
    <xf numFmtId="4" fontId="8" fillId="6" borderId="7" xfId="0" applyNumberFormat="1" applyFont="1" applyFill="1" applyBorder="1"/>
    <xf numFmtId="4" fontId="0" fillId="6" borderId="4" xfId="0" applyNumberFormat="1" applyFill="1" applyBorder="1"/>
    <xf numFmtId="0" fontId="0" fillId="0" borderId="15" xfId="0" applyBorder="1"/>
    <xf numFmtId="0" fontId="0" fillId="0" borderId="0" xfId="0" applyAlignment="1">
      <alignment horizontal="center"/>
    </xf>
    <xf numFmtId="0" fontId="8" fillId="0" borderId="0" xfId="0" applyFont="1"/>
    <xf numFmtId="0" fontId="0" fillId="0" borderId="18" xfId="0" applyBorder="1"/>
    <xf numFmtId="0" fontId="8" fillId="0" borderId="18" xfId="0" applyFont="1" applyBorder="1" applyAlignment="1">
      <alignment horizontal="center"/>
    </xf>
    <xf numFmtId="0" fontId="8" fillId="0" borderId="0" xfId="0" applyFont="1" applyAlignment="1">
      <alignment horizontal="center"/>
    </xf>
    <xf numFmtId="164" fontId="0" fillId="0" borderId="0" xfId="0" applyNumberFormat="1"/>
    <xf numFmtId="4" fontId="8" fillId="0" borderId="2" xfId="0" applyNumberFormat="1" applyFont="1" applyBorder="1" applyAlignment="1">
      <alignment horizontal="center"/>
    </xf>
    <xf numFmtId="4" fontId="0" fillId="2" borderId="2" xfId="0" applyNumberFormat="1" applyFill="1" applyBorder="1" applyAlignment="1">
      <alignment horizontal="center"/>
    </xf>
    <xf numFmtId="0" fontId="8" fillId="0" borderId="15" xfId="0" applyFont="1" applyBorder="1"/>
    <xf numFmtId="4" fontId="8" fillId="0" borderId="2" xfId="0" applyNumberFormat="1" applyFont="1" applyBorder="1"/>
    <xf numFmtId="4" fontId="8" fillId="0" borderId="0" xfId="0" applyNumberFormat="1" applyFont="1" applyAlignment="1">
      <alignment horizontal="center"/>
    </xf>
    <xf numFmtId="2" fontId="8" fillId="0" borderId="0" xfId="0" applyNumberFormat="1" applyFont="1"/>
    <xf numFmtId="4" fontId="0" fillId="0" borderId="2" xfId="0" applyNumberFormat="1" applyBorder="1" applyAlignment="1">
      <alignment horizontal="center"/>
    </xf>
    <xf numFmtId="4" fontId="8" fillId="0" borderId="3" xfId="0" applyNumberFormat="1" applyFont="1" applyBorder="1"/>
    <xf numFmtId="4" fontId="0" fillId="0" borderId="0" xfId="0" applyNumberFormat="1" applyAlignment="1">
      <alignment horizontal="center"/>
    </xf>
    <xf numFmtId="4" fontId="0" fillId="0" borderId="0" xfId="0" applyNumberFormat="1"/>
    <xf numFmtId="4" fontId="0" fillId="7" borderId="2" xfId="0" applyNumberFormat="1" applyFill="1" applyBorder="1" applyAlignment="1">
      <alignment horizontal="center"/>
    </xf>
    <xf numFmtId="0" fontId="8" fillId="0" borderId="0" xfId="0" applyFont="1" applyAlignment="1">
      <alignment horizontal="left"/>
    </xf>
    <xf numFmtId="4" fontId="0" fillId="7" borderId="0" xfId="0" applyNumberFormat="1" applyFill="1" applyAlignment="1">
      <alignment horizontal="center"/>
    </xf>
    <xf numFmtId="4" fontId="8" fillId="7" borderId="0" xfId="0" applyNumberFormat="1" applyFont="1" applyFill="1"/>
    <xf numFmtId="0" fontId="0" fillId="0" borderId="20" xfId="0" applyBorder="1"/>
    <xf numFmtId="2" fontId="8" fillId="0" borderId="15" xfId="0" applyNumberFormat="1" applyFont="1" applyBorder="1"/>
    <xf numFmtId="2" fontId="8" fillId="0" borderId="0" xfId="0" applyNumberFormat="1" applyFont="1" applyAlignment="1">
      <alignment horizontal="center"/>
    </xf>
    <xf numFmtId="4" fontId="0" fillId="0" borderId="18" xfId="0" applyNumberFormat="1" applyBorder="1" applyAlignment="1">
      <alignment horizontal="center"/>
    </xf>
    <xf numFmtId="4" fontId="8" fillId="0" borderId="15" xfId="0" applyNumberFormat="1" applyFont="1" applyBorder="1"/>
    <xf numFmtId="4" fontId="8" fillId="0" borderId="0" xfId="0" applyNumberFormat="1" applyFont="1"/>
    <xf numFmtId="3" fontId="8" fillId="0" borderId="0" xfId="0" applyNumberFormat="1" applyFont="1" applyAlignment="1">
      <alignment horizontal="center"/>
    </xf>
    <xf numFmtId="0" fontId="7" fillId="0" borderId="0" xfId="0" applyFont="1"/>
    <xf numFmtId="2" fontId="8" fillId="7" borderId="15" xfId="0" applyNumberFormat="1" applyFont="1" applyFill="1" applyBorder="1"/>
    <xf numFmtId="4" fontId="8" fillId="0" borderId="0" xfId="0" applyNumberFormat="1" applyFont="1" applyAlignment="1">
      <alignment horizontal="left"/>
    </xf>
    <xf numFmtId="0" fontId="16" fillId="9" borderId="2" xfId="0" applyFont="1" applyFill="1" applyBorder="1" applyAlignment="1">
      <alignment horizontal="center" vertical="center"/>
    </xf>
    <xf numFmtId="0" fontId="16" fillId="7" borderId="2" xfId="0" applyFont="1" applyFill="1" applyBorder="1" applyAlignment="1">
      <alignment horizontal="center" vertical="center" wrapText="1"/>
    </xf>
    <xf numFmtId="0" fontId="16" fillId="7" borderId="2" xfId="0" applyFont="1" applyFill="1" applyBorder="1" applyAlignment="1">
      <alignment horizontal="center" vertical="top" wrapText="1"/>
    </xf>
    <xf numFmtId="0" fontId="16" fillId="7" borderId="8" xfId="0" applyFont="1" applyFill="1" applyBorder="1" applyAlignment="1">
      <alignment horizontal="center" vertical="top" wrapText="1"/>
    </xf>
    <xf numFmtId="0" fontId="16" fillId="7" borderId="22" xfId="0" applyFont="1" applyFill="1" applyBorder="1" applyAlignment="1">
      <alignment horizontal="center" vertical="top" wrapText="1"/>
    </xf>
    <xf numFmtId="4" fontId="8" fillId="6" borderId="2" xfId="3" applyNumberFormat="1" applyFill="1" applyBorder="1" applyAlignment="1">
      <alignment horizontal="center"/>
    </xf>
    <xf numFmtId="0" fontId="8" fillId="0" borderId="0" xfId="3"/>
    <xf numFmtId="0" fontId="8" fillId="0" borderId="18" xfId="3" applyBorder="1"/>
    <xf numFmtId="0" fontId="8" fillId="0" borderId="1" xfId="3" applyBorder="1"/>
    <xf numFmtId="0" fontId="8" fillId="0" borderId="0" xfId="3" applyAlignment="1">
      <alignment horizontal="center"/>
    </xf>
    <xf numFmtId="0" fontId="16" fillId="0" borderId="2" xfId="3" applyFont="1" applyBorder="1" applyAlignment="1">
      <alignment horizontal="center" vertical="center" wrapText="1"/>
    </xf>
    <xf numFmtId="0" fontId="16" fillId="5" borderId="2" xfId="3" applyFont="1" applyFill="1" applyBorder="1" applyAlignment="1">
      <alignment horizontal="center" vertical="center"/>
    </xf>
    <xf numFmtId="0" fontId="8" fillId="0" borderId="0" xfId="3" applyBorder="1"/>
    <xf numFmtId="2" fontId="8" fillId="0" borderId="0" xfId="3" applyNumberFormat="1" applyBorder="1"/>
    <xf numFmtId="0" fontId="8" fillId="0" borderId="0" xfId="0" applyFont="1" applyAlignment="1"/>
    <xf numFmtId="4" fontId="0" fillId="2" borderId="4" xfId="0" applyNumberFormat="1" applyFill="1" applyBorder="1" applyAlignment="1">
      <alignment horizontal="center"/>
    </xf>
    <xf numFmtId="0" fontId="0" fillId="0" borderId="0" xfId="0" applyBorder="1"/>
    <xf numFmtId="0" fontId="8" fillId="0" borderId="25" xfId="0" applyFont="1" applyBorder="1" applyAlignment="1">
      <alignment horizontal="left"/>
    </xf>
    <xf numFmtId="0" fontId="8" fillId="0" borderId="28" xfId="0" applyFont="1" applyBorder="1" applyAlignment="1">
      <alignment horizontal="left"/>
    </xf>
    <xf numFmtId="0" fontId="8" fillId="0" borderId="0" xfId="0" applyFont="1" applyBorder="1"/>
    <xf numFmtId="4" fontId="0" fillId="0" borderId="18" xfId="0" applyNumberFormat="1" applyBorder="1"/>
    <xf numFmtId="4" fontId="8" fillId="7" borderId="0" xfId="0" applyNumberFormat="1" applyFont="1" applyFill="1" applyBorder="1"/>
    <xf numFmtId="4" fontId="0" fillId="0" borderId="0" xfId="0" applyNumberFormat="1" applyBorder="1"/>
    <xf numFmtId="0" fontId="17" fillId="7" borderId="3" xfId="4" applyFont="1" applyFill="1" applyBorder="1" applyAlignment="1">
      <alignment horizontal="left" vertical="center"/>
    </xf>
    <xf numFmtId="0" fontId="21" fillId="0" borderId="4" xfId="4" applyFont="1" applyBorder="1" applyAlignment="1">
      <alignment horizontal="center" vertical="center"/>
    </xf>
    <xf numFmtId="0" fontId="21" fillId="0" borderId="4" xfId="4" applyFont="1" applyBorder="1" applyAlignment="1">
      <alignment horizontal="center" vertical="center"/>
    </xf>
    <xf numFmtId="0" fontId="17" fillId="7" borderId="3" xfId="4" applyFont="1" applyFill="1" applyBorder="1" applyAlignment="1">
      <alignment horizontal="left" vertical="center"/>
    </xf>
    <xf numFmtId="0" fontId="20" fillId="0" borderId="0" xfId="4" applyFont="1" applyBorder="1"/>
    <xf numFmtId="0" fontId="25" fillId="7" borderId="0" xfId="4" applyFont="1" applyFill="1" applyAlignment="1">
      <alignment horizontal="left"/>
    </xf>
    <xf numFmtId="0" fontId="18" fillId="7" borderId="0" xfId="5" applyFont="1" applyFill="1" applyAlignment="1">
      <alignment horizontal="left" vertical="center"/>
    </xf>
    <xf numFmtId="0" fontId="25" fillId="7" borderId="0" xfId="5" applyFont="1" applyFill="1" applyAlignment="1">
      <alignment horizontal="left"/>
    </xf>
    <xf numFmtId="0" fontId="18" fillId="7" borderId="0" xfId="5" applyFont="1" applyFill="1" applyAlignment="1">
      <alignment horizontal="left"/>
    </xf>
    <xf numFmtId="0" fontId="19" fillId="3" borderId="10" xfId="4" applyFont="1" applyFill="1" applyBorder="1" applyAlignment="1">
      <alignment horizontal="center" vertical="center" wrapText="1"/>
    </xf>
    <xf numFmtId="0" fontId="21" fillId="0" borderId="4" xfId="4" applyFont="1" applyBorder="1" applyAlignment="1">
      <alignment horizontal="center" vertical="center"/>
    </xf>
    <xf numFmtId="0" fontId="21" fillId="0" borderId="4" xfId="4" applyFont="1" applyBorder="1" applyAlignment="1">
      <alignment horizontal="center" vertical="center"/>
    </xf>
    <xf numFmtId="0" fontId="21" fillId="0" borderId="4" xfId="4" applyFont="1" applyBorder="1" applyAlignment="1">
      <alignment horizontal="center" vertical="center"/>
    </xf>
    <xf numFmtId="0" fontId="17" fillId="0" borderId="3" xfId="4" applyFont="1" applyBorder="1" applyAlignment="1">
      <alignment horizontal="left" vertical="center" wrapText="1"/>
    </xf>
    <xf numFmtId="0" fontId="21" fillId="0" borderId="4" xfId="4" applyFont="1" applyBorder="1" applyAlignment="1">
      <alignment horizontal="center" vertical="center"/>
    </xf>
    <xf numFmtId="4" fontId="8" fillId="6" borderId="2" xfId="3" applyNumberFormat="1" applyFill="1" applyBorder="1" applyAlignment="1">
      <alignment horizontal="center"/>
    </xf>
    <xf numFmtId="0" fontId="8" fillId="0" borderId="0" xfId="3"/>
    <xf numFmtId="0" fontId="8" fillId="0" borderId="0" xfId="3" applyAlignment="1">
      <alignment horizontal="center"/>
    </xf>
    <xf numFmtId="0" fontId="16" fillId="0" borderId="2" xfId="3" applyFont="1" applyBorder="1" applyAlignment="1">
      <alignment horizontal="center" vertical="center" wrapText="1"/>
    </xf>
    <xf numFmtId="0" fontId="16" fillId="5" borderId="2" xfId="3" applyFont="1" applyFill="1" applyBorder="1" applyAlignment="1">
      <alignment horizontal="center" vertical="center"/>
    </xf>
    <xf numFmtId="0" fontId="8" fillId="0" borderId="18" xfId="3" applyBorder="1"/>
    <xf numFmtId="0" fontId="8" fillId="0" borderId="1" xfId="3" applyBorder="1"/>
    <xf numFmtId="17" fontId="10" fillId="3" borderId="10" xfId="4" applyNumberFormat="1" applyFont="1" applyFill="1" applyBorder="1" applyAlignment="1">
      <alignment horizontal="center" vertical="center"/>
    </xf>
    <xf numFmtId="2" fontId="17" fillId="2" borderId="5" xfId="8" applyNumberFormat="1" applyFont="1" applyFill="1" applyBorder="1" applyAlignment="1">
      <alignment horizontal="center"/>
    </xf>
    <xf numFmtId="0" fontId="17" fillId="2" borderId="5" xfId="8" applyFont="1" applyFill="1" applyBorder="1" applyAlignment="1">
      <alignment horizontal="center"/>
    </xf>
    <xf numFmtId="2" fontId="16" fillId="0" borderId="22" xfId="3" applyNumberFormat="1" applyFont="1" applyBorder="1" applyAlignment="1">
      <alignment horizontal="center" vertical="center"/>
    </xf>
    <xf numFmtId="0" fontId="8" fillId="0" borderId="29" xfId="3" applyBorder="1"/>
    <xf numFmtId="2" fontId="16" fillId="0" borderId="30" xfId="3" applyNumberFormat="1" applyFont="1" applyBorder="1" applyAlignment="1">
      <alignment horizontal="center" vertical="center"/>
    </xf>
    <xf numFmtId="0" fontId="18" fillId="7" borderId="15" xfId="5" applyFont="1" applyFill="1" applyBorder="1" applyAlignment="1">
      <alignment horizontal="left" vertical="center"/>
    </xf>
    <xf numFmtId="17" fontId="10" fillId="3" borderId="15" xfId="4" applyNumberFormat="1" applyFont="1" applyFill="1" applyBorder="1" applyAlignment="1">
      <alignment vertical="center"/>
    </xf>
    <xf numFmtId="0" fontId="8" fillId="0" borderId="2" xfId="3" applyBorder="1" applyAlignment="1">
      <alignment horizontal="center"/>
    </xf>
    <xf numFmtId="4" fontId="8" fillId="6" borderId="2" xfId="3" applyNumberFormat="1" applyFill="1" applyBorder="1" applyAlignment="1">
      <alignment horizontal="center"/>
    </xf>
    <xf numFmtId="0" fontId="8" fillId="0" borderId="0" xfId="3"/>
    <xf numFmtId="0" fontId="8" fillId="0" borderId="17" xfId="3" applyBorder="1"/>
    <xf numFmtId="0" fontId="8" fillId="0" borderId="18" xfId="3" applyBorder="1"/>
    <xf numFmtId="2" fontId="8" fillId="6" borderId="2" xfId="3" applyNumberFormat="1" applyFill="1" applyBorder="1" applyAlignment="1">
      <alignment horizontal="center"/>
    </xf>
    <xf numFmtId="2" fontId="8" fillId="6" borderId="3" xfId="3" applyNumberFormat="1" applyFill="1" applyBorder="1" applyAlignment="1">
      <alignment horizontal="center"/>
    </xf>
    <xf numFmtId="0" fontId="8" fillId="0" borderId="3" xfId="3" applyBorder="1"/>
    <xf numFmtId="0" fontId="8" fillId="0" borderId="7" xfId="3" applyBorder="1"/>
    <xf numFmtId="0" fontId="8" fillId="0" borderId="10" xfId="3" applyBorder="1"/>
    <xf numFmtId="0" fontId="8" fillId="0" borderId="1" xfId="3" applyBorder="1"/>
    <xf numFmtId="0" fontId="16" fillId="5" borderId="3" xfId="3" applyFont="1" applyFill="1" applyBorder="1" applyAlignment="1">
      <alignment horizontal="center" vertical="center"/>
    </xf>
    <xf numFmtId="0" fontId="16" fillId="5" borderId="4" xfId="3" applyFont="1" applyFill="1" applyBorder="1" applyAlignment="1">
      <alignment horizontal="center" vertical="center"/>
    </xf>
    <xf numFmtId="0" fontId="8" fillId="0" borderId="3" xfId="3" applyBorder="1" applyAlignment="1">
      <alignment horizontal="center"/>
    </xf>
    <xf numFmtId="0" fontId="8" fillId="0" borderId="7" xfId="3" applyBorder="1" applyAlignment="1">
      <alignment horizontal="center"/>
    </xf>
    <xf numFmtId="0" fontId="8" fillId="0" borderId="4" xfId="3" applyBorder="1" applyAlignment="1">
      <alignment horizontal="center"/>
    </xf>
    <xf numFmtId="0" fontId="8" fillId="6" borderId="3" xfId="3" applyFill="1" applyBorder="1" applyAlignment="1">
      <alignment horizontal="center"/>
    </xf>
    <xf numFmtId="0" fontId="8" fillId="6" borderId="7" xfId="3" applyFill="1" applyBorder="1" applyAlignment="1">
      <alignment horizontal="center"/>
    </xf>
    <xf numFmtId="0" fontId="8" fillId="6" borderId="4" xfId="3" applyFill="1" applyBorder="1" applyAlignment="1">
      <alignment horizontal="center"/>
    </xf>
    <xf numFmtId="0" fontId="8" fillId="0" borderId="0" xfId="3" applyAlignment="1">
      <alignment horizontal="center"/>
    </xf>
    <xf numFmtId="0" fontId="16" fillId="0" borderId="3" xfId="3" applyFont="1" applyBorder="1" applyAlignment="1">
      <alignment horizontal="center" vertical="top" wrapText="1"/>
    </xf>
    <xf numFmtId="0" fontId="16" fillId="0" borderId="7" xfId="3" applyFont="1" applyBorder="1" applyAlignment="1">
      <alignment horizontal="center" vertical="top" wrapText="1"/>
    </xf>
    <xf numFmtId="0" fontId="16" fillId="0" borderId="4" xfId="3" applyFont="1" applyBorder="1" applyAlignment="1">
      <alignment horizontal="center" vertical="top" wrapText="1"/>
    </xf>
    <xf numFmtId="0" fontId="16" fillId="0" borderId="8" xfId="3" applyFont="1" applyBorder="1" applyAlignment="1">
      <alignment horizontal="center" vertical="center" wrapText="1"/>
    </xf>
    <xf numFmtId="0" fontId="16" fillId="0" borderId="9" xfId="3" applyFont="1" applyBorder="1" applyAlignment="1">
      <alignment horizontal="center" vertical="center" wrapText="1"/>
    </xf>
    <xf numFmtId="0" fontId="16" fillId="0" borderId="2" xfId="3" applyFont="1" applyBorder="1" applyAlignment="1">
      <alignment horizontal="center" vertical="center" wrapText="1"/>
    </xf>
    <xf numFmtId="0" fontId="16" fillId="0" borderId="3" xfId="3" applyFont="1" applyBorder="1" applyAlignment="1">
      <alignment horizontal="center" vertical="center" wrapText="1"/>
    </xf>
    <xf numFmtId="0" fontId="16" fillId="0" borderId="7" xfId="3" applyFont="1" applyBorder="1" applyAlignment="1">
      <alignment horizontal="center" vertical="center" wrapText="1"/>
    </xf>
    <xf numFmtId="0" fontId="16" fillId="0" borderId="4" xfId="3" applyFont="1" applyBorder="1" applyAlignment="1">
      <alignment horizontal="center" vertical="center" wrapText="1"/>
    </xf>
    <xf numFmtId="0" fontId="7" fillId="5" borderId="3" xfId="3" applyFont="1" applyFill="1" applyBorder="1" applyAlignment="1">
      <alignment horizontal="center"/>
    </xf>
    <xf numFmtId="0" fontId="7" fillId="5" borderId="7" xfId="3" applyFont="1" applyFill="1" applyBorder="1" applyAlignment="1">
      <alignment horizontal="center"/>
    </xf>
    <xf numFmtId="0" fontId="14" fillId="0" borderId="3" xfId="3" applyFont="1" applyBorder="1" applyAlignment="1">
      <alignment horizontal="center"/>
    </xf>
    <xf numFmtId="0" fontId="15" fillId="0" borderId="7" xfId="3" applyFont="1" applyBorder="1" applyAlignment="1">
      <alignment horizontal="center"/>
    </xf>
    <xf numFmtId="0" fontId="15" fillId="0" borderId="4" xfId="3" applyFont="1" applyBorder="1" applyAlignment="1">
      <alignment horizontal="center"/>
    </xf>
    <xf numFmtId="0" fontId="16" fillId="5" borderId="2" xfId="3" applyFont="1" applyFill="1" applyBorder="1" applyAlignment="1">
      <alignment horizontal="center" vertical="center"/>
    </xf>
    <xf numFmtId="0" fontId="16" fillId="5" borderId="2" xfId="3" applyFont="1" applyFill="1" applyBorder="1" applyAlignment="1">
      <alignment horizontal="center"/>
    </xf>
    <xf numFmtId="0" fontId="16" fillId="5" borderId="2" xfId="3" applyFont="1" applyFill="1" applyBorder="1" applyAlignment="1">
      <alignment horizontal="center" vertical="center" wrapText="1"/>
    </xf>
    <xf numFmtId="2" fontId="16" fillId="0" borderId="2" xfId="3" applyNumberFormat="1" applyFont="1" applyBorder="1" applyAlignment="1">
      <alignment vertical="center" wrapText="1"/>
    </xf>
    <xf numFmtId="0" fontId="16" fillId="9" borderId="2" xfId="3" applyFont="1" applyFill="1" applyBorder="1" applyAlignment="1">
      <alignment horizontal="center" vertical="center"/>
    </xf>
    <xf numFmtId="0" fontId="8" fillId="8" borderId="3" xfId="3" applyFill="1" applyBorder="1" applyAlignment="1">
      <alignment horizontal="center"/>
    </xf>
    <xf numFmtId="0" fontId="8" fillId="8" borderId="7" xfId="3" applyFill="1" applyBorder="1" applyAlignment="1">
      <alignment horizontal="center"/>
    </xf>
    <xf numFmtId="0" fontId="8" fillId="8" borderId="4" xfId="3" applyFill="1" applyBorder="1" applyAlignment="1">
      <alignment horizontal="center"/>
    </xf>
    <xf numFmtId="0" fontId="16" fillId="7" borderId="3" xfId="0" applyFont="1" applyFill="1" applyBorder="1" applyAlignment="1">
      <alignment horizontal="center"/>
    </xf>
    <xf numFmtId="0" fontId="16" fillId="7" borderId="7" xfId="0" applyFont="1" applyFill="1" applyBorder="1" applyAlignment="1">
      <alignment horizontal="center"/>
    </xf>
    <xf numFmtId="0" fontId="16" fillId="7" borderId="4" xfId="0" applyFont="1" applyFill="1" applyBorder="1" applyAlignment="1">
      <alignment horizontal="center"/>
    </xf>
    <xf numFmtId="2" fontId="16" fillId="8" borderId="3" xfId="0" applyNumberFormat="1" applyFont="1" applyFill="1" applyBorder="1" applyAlignment="1">
      <alignment horizontal="center"/>
    </xf>
    <xf numFmtId="2" fontId="16" fillId="8" borderId="7" xfId="0" applyNumberFormat="1" applyFont="1" applyFill="1" applyBorder="1" applyAlignment="1">
      <alignment horizontal="center"/>
    </xf>
    <xf numFmtId="2" fontId="16" fillId="8" borderId="4" xfId="0" applyNumberFormat="1" applyFont="1" applyFill="1" applyBorder="1" applyAlignment="1">
      <alignment horizontal="center"/>
    </xf>
    <xf numFmtId="0" fontId="8" fillId="0" borderId="0" xfId="0" applyFont="1"/>
    <xf numFmtId="4" fontId="16" fillId="8" borderId="3" xfId="0" applyNumberFormat="1" applyFont="1" applyFill="1" applyBorder="1" applyAlignment="1">
      <alignment horizontal="center"/>
    </xf>
    <xf numFmtId="4" fontId="16" fillId="8" borderId="7" xfId="0" applyNumberFormat="1" applyFont="1" applyFill="1" applyBorder="1" applyAlignment="1">
      <alignment horizontal="center"/>
    </xf>
    <xf numFmtId="4" fontId="16" fillId="8" borderId="4" xfId="0" applyNumberFormat="1" applyFont="1" applyFill="1" applyBorder="1" applyAlignment="1">
      <alignment horizontal="center"/>
    </xf>
    <xf numFmtId="0" fontId="8" fillId="0" borderId="3" xfId="0" applyFont="1" applyBorder="1" applyAlignment="1">
      <alignment horizontal="left"/>
    </xf>
    <xf numFmtId="0" fontId="8" fillId="0" borderId="7" xfId="0" applyFont="1" applyBorder="1" applyAlignment="1">
      <alignment horizontal="left"/>
    </xf>
    <xf numFmtId="0" fontId="8" fillId="0" borderId="4" xfId="0" applyFont="1" applyBorder="1" applyAlignment="1">
      <alignment horizontal="left"/>
    </xf>
    <xf numFmtId="0" fontId="8" fillId="0" borderId="18" xfId="0" applyFont="1" applyBorder="1" applyAlignment="1">
      <alignment horizontal="left"/>
    </xf>
    <xf numFmtId="0" fontId="8" fillId="0" borderId="2" xfId="0" applyFont="1" applyBorder="1"/>
    <xf numFmtId="2" fontId="8" fillId="6" borderId="3" xfId="0" applyNumberFormat="1" applyFont="1" applyFill="1" applyBorder="1" applyAlignment="1">
      <alignment horizontal="center"/>
    </xf>
    <xf numFmtId="2" fontId="8" fillId="6" borderId="7" xfId="0" applyNumberFormat="1" applyFont="1" applyFill="1" applyBorder="1" applyAlignment="1">
      <alignment horizontal="center"/>
    </xf>
    <xf numFmtId="0" fontId="10" fillId="7" borderId="3" xfId="0" applyFont="1" applyFill="1" applyBorder="1" applyAlignment="1">
      <alignment horizontal="center"/>
    </xf>
    <xf numFmtId="0" fontId="10" fillId="7" borderId="7" xfId="0" applyFont="1" applyFill="1" applyBorder="1" applyAlignment="1">
      <alignment horizontal="center"/>
    </xf>
    <xf numFmtId="0" fontId="10" fillId="7" borderId="4" xfId="0" applyFont="1" applyFill="1" applyBorder="1" applyAlignment="1">
      <alignment horizontal="center"/>
    </xf>
    <xf numFmtId="0" fontId="8" fillId="0" borderId="2" xfId="0" applyFont="1" applyBorder="1" applyAlignment="1">
      <alignment horizontal="left"/>
    </xf>
    <xf numFmtId="0" fontId="8" fillId="0" borderId="26" xfId="0" applyFont="1" applyBorder="1" applyAlignment="1">
      <alignment horizontal="left"/>
    </xf>
    <xf numFmtId="0" fontId="8" fillId="0" borderId="27" xfId="0" applyFont="1" applyBorder="1" applyAlignment="1">
      <alignment horizontal="left"/>
    </xf>
    <xf numFmtId="0" fontId="16" fillId="9" borderId="3" xfId="0" applyFont="1" applyFill="1" applyBorder="1" applyAlignment="1">
      <alignment horizontal="center" vertical="center"/>
    </xf>
    <xf numFmtId="0" fontId="16" fillId="9" borderId="4" xfId="0" applyFont="1" applyFill="1" applyBorder="1" applyAlignment="1">
      <alignment horizontal="center" vertical="center"/>
    </xf>
    <xf numFmtId="0" fontId="0" fillId="0" borderId="3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6" borderId="3" xfId="0" applyFill="1" applyBorder="1" applyAlignment="1">
      <alignment horizontal="center"/>
    </xf>
    <xf numFmtId="0" fontId="0" fillId="6" borderId="7" xfId="0" applyFill="1" applyBorder="1" applyAlignment="1">
      <alignment horizontal="center"/>
    </xf>
    <xf numFmtId="0" fontId="0" fillId="6" borderId="4" xfId="0" applyFill="1" applyBorder="1" applyAlignment="1">
      <alignment horizontal="center"/>
    </xf>
    <xf numFmtId="4" fontId="0" fillId="6" borderId="3" xfId="0" applyNumberFormat="1" applyFill="1" applyBorder="1" applyAlignment="1">
      <alignment horizontal="center"/>
    </xf>
    <xf numFmtId="4" fontId="0" fillId="6" borderId="4" xfId="0" applyNumberFormat="1" applyFill="1" applyBorder="1" applyAlignment="1">
      <alignment horizontal="center"/>
    </xf>
    <xf numFmtId="0" fontId="16" fillId="7" borderId="2" xfId="0" applyFont="1" applyFill="1" applyBorder="1" applyAlignment="1">
      <alignment horizontal="center" vertical="top" wrapText="1"/>
    </xf>
    <xf numFmtId="0" fontId="16" fillId="7" borderId="8" xfId="0" applyFont="1" applyFill="1" applyBorder="1" applyAlignment="1">
      <alignment horizontal="center" vertical="top" wrapText="1"/>
    </xf>
    <xf numFmtId="0" fontId="16" fillId="7" borderId="9" xfId="0" applyFont="1" applyFill="1" applyBorder="1" applyAlignment="1">
      <alignment horizontal="center" vertical="top" wrapText="1"/>
    </xf>
    <xf numFmtId="2" fontId="16" fillId="7" borderId="2" xfId="0" applyNumberFormat="1" applyFont="1" applyFill="1" applyBorder="1" applyAlignment="1">
      <alignment vertical="top" wrapText="1"/>
    </xf>
    <xf numFmtId="0" fontId="6" fillId="7" borderId="2" xfId="0" applyFont="1" applyFill="1" applyBorder="1" applyAlignment="1">
      <alignment horizontal="center" vertical="top" wrapText="1"/>
    </xf>
    <xf numFmtId="0" fontId="8" fillId="0" borderId="18" xfId="0" applyFont="1" applyBorder="1" applyAlignment="1">
      <alignment horizontal="center"/>
    </xf>
    <xf numFmtId="0" fontId="16" fillId="7" borderId="3" xfId="0" applyFont="1" applyFill="1" applyBorder="1" applyAlignment="1">
      <alignment horizontal="center" vertical="top" wrapText="1"/>
    </xf>
    <xf numFmtId="0" fontId="16" fillId="7" borderId="7" xfId="0" applyFont="1" applyFill="1" applyBorder="1" applyAlignment="1">
      <alignment horizontal="center" vertical="top" wrapText="1"/>
    </xf>
    <xf numFmtId="0" fontId="16" fillId="7" borderId="4" xfId="0" applyFont="1" applyFill="1" applyBorder="1" applyAlignment="1">
      <alignment horizontal="center" vertical="top" wrapText="1"/>
    </xf>
    <xf numFmtId="0" fontId="16" fillId="9" borderId="2" xfId="0" applyFont="1" applyFill="1" applyBorder="1" applyAlignment="1">
      <alignment horizontal="center" vertical="top" wrapText="1"/>
    </xf>
    <xf numFmtId="0" fontId="8" fillId="0" borderId="3" xfId="0" applyFont="1" applyBorder="1" applyAlignment="1">
      <alignment horizontal="center"/>
    </xf>
    <xf numFmtId="0" fontId="8" fillId="0" borderId="7" xfId="0" applyFont="1" applyBorder="1" applyAlignment="1">
      <alignment horizontal="center"/>
    </xf>
    <xf numFmtId="0" fontId="28" fillId="9" borderId="3" xfId="0" applyFont="1" applyFill="1" applyBorder="1" applyAlignment="1">
      <alignment horizontal="center"/>
    </xf>
    <xf numFmtId="0" fontId="28" fillId="9" borderId="7" xfId="0" applyFont="1" applyFill="1" applyBorder="1" applyAlignment="1">
      <alignment horizontal="center"/>
    </xf>
    <xf numFmtId="0" fontId="28" fillId="9" borderId="4" xfId="0" applyFont="1" applyFill="1" applyBorder="1" applyAlignment="1">
      <alignment horizontal="center"/>
    </xf>
    <xf numFmtId="165" fontId="28" fillId="7" borderId="3" xfId="0" applyNumberFormat="1" applyFont="1" applyFill="1" applyBorder="1" applyAlignment="1">
      <alignment horizontal="center"/>
    </xf>
    <xf numFmtId="165" fontId="28" fillId="7" borderId="4" xfId="0" applyNumberFormat="1" applyFont="1" applyFill="1" applyBorder="1" applyAlignment="1">
      <alignment horizontal="center"/>
    </xf>
    <xf numFmtId="0" fontId="14" fillId="7" borderId="3" xfId="0" applyFont="1" applyFill="1" applyBorder="1" applyAlignment="1">
      <alignment horizontal="center"/>
    </xf>
    <xf numFmtId="0" fontId="14" fillId="7" borderId="7" xfId="0" applyFont="1" applyFill="1" applyBorder="1" applyAlignment="1">
      <alignment horizontal="center"/>
    </xf>
    <xf numFmtId="0" fontId="14" fillId="7" borderId="4" xfId="0" applyFont="1" applyFill="1" applyBorder="1" applyAlignment="1">
      <alignment horizontal="center"/>
    </xf>
    <xf numFmtId="0" fontId="16" fillId="9" borderId="2" xfId="0" applyFont="1" applyFill="1" applyBorder="1" applyAlignment="1">
      <alignment horizontal="center" vertical="center"/>
    </xf>
    <xf numFmtId="0" fontId="16" fillId="9" borderId="8" xfId="0" applyFont="1" applyFill="1" applyBorder="1" applyAlignment="1">
      <alignment horizontal="center" vertical="center"/>
    </xf>
    <xf numFmtId="0" fontId="16" fillId="9" borderId="9" xfId="0" applyFont="1" applyFill="1" applyBorder="1" applyAlignment="1">
      <alignment horizontal="center" vertical="center"/>
    </xf>
    <xf numFmtId="0" fontId="16" fillId="9" borderId="8" xfId="0" applyFont="1" applyFill="1" applyBorder="1" applyAlignment="1">
      <alignment horizontal="center" vertical="center" wrapText="1"/>
    </xf>
    <xf numFmtId="0" fontId="16" fillId="9" borderId="9" xfId="0" applyFont="1" applyFill="1" applyBorder="1" applyAlignment="1">
      <alignment horizontal="center" vertical="center" wrapText="1"/>
    </xf>
    <xf numFmtId="0" fontId="14" fillId="0" borderId="7" xfId="3" applyFont="1" applyBorder="1" applyAlignment="1">
      <alignment horizontal="center"/>
    </xf>
    <xf numFmtId="0" fontId="21" fillId="0" borderId="3" xfId="4" applyFont="1" applyBorder="1" applyAlignment="1">
      <alignment horizontal="center" vertical="center"/>
    </xf>
    <xf numFmtId="0" fontId="21" fillId="0" borderId="7" xfId="4" applyFont="1" applyBorder="1" applyAlignment="1">
      <alignment horizontal="center" vertical="center"/>
    </xf>
    <xf numFmtId="0" fontId="21" fillId="0" borderId="4" xfId="4" applyFont="1" applyBorder="1" applyAlignment="1">
      <alignment horizontal="center" vertical="center"/>
    </xf>
    <xf numFmtId="0" fontId="17" fillId="7" borderId="3" xfId="4" applyFont="1" applyFill="1" applyBorder="1" applyAlignment="1">
      <alignment horizontal="left" vertical="center" wrapText="1"/>
    </xf>
    <xf numFmtId="0" fontId="17" fillId="7" borderId="4" xfId="4" applyFont="1" applyFill="1" applyBorder="1" applyAlignment="1">
      <alignment horizontal="left" vertical="center" wrapText="1"/>
    </xf>
    <xf numFmtId="0" fontId="17" fillId="7" borderId="7" xfId="4" applyFont="1" applyFill="1" applyBorder="1" applyAlignment="1">
      <alignment horizontal="left" vertical="center" wrapText="1"/>
    </xf>
    <xf numFmtId="0" fontId="19" fillId="4" borderId="3" xfId="4" applyFont="1" applyFill="1" applyBorder="1" applyAlignment="1">
      <alignment horizontal="center" vertical="center"/>
    </xf>
    <xf numFmtId="0" fontId="19" fillId="4" borderId="7" xfId="4" applyFont="1" applyFill="1" applyBorder="1" applyAlignment="1">
      <alignment horizontal="center" vertical="center"/>
    </xf>
    <xf numFmtId="0" fontId="7" fillId="4" borderId="3" xfId="4" applyFont="1" applyFill="1" applyBorder="1" applyAlignment="1">
      <alignment horizontal="center" vertical="center" wrapText="1"/>
    </xf>
    <xf numFmtId="0" fontId="7" fillId="4" borderId="7" xfId="4" applyFont="1" applyFill="1" applyBorder="1" applyAlignment="1">
      <alignment horizontal="center" vertical="center" wrapText="1"/>
    </xf>
    <xf numFmtId="0" fontId="17" fillId="0" borderId="3" xfId="4" applyFont="1" applyBorder="1" applyAlignment="1">
      <alignment horizontal="left" vertical="center" wrapText="1"/>
    </xf>
    <xf numFmtId="0" fontId="17" fillId="0" borderId="7" xfId="4" applyFont="1" applyBorder="1" applyAlignment="1">
      <alignment horizontal="left" vertical="center" wrapText="1"/>
    </xf>
    <xf numFmtId="0" fontId="19" fillId="4" borderId="3" xfId="4" applyFont="1" applyFill="1" applyBorder="1" applyAlignment="1">
      <alignment horizontal="center" vertical="center" wrapText="1"/>
    </xf>
    <xf numFmtId="0" fontId="19" fillId="4" borderId="7" xfId="4" applyFont="1" applyFill="1" applyBorder="1" applyAlignment="1">
      <alignment horizontal="center" vertical="center" wrapText="1"/>
    </xf>
    <xf numFmtId="0" fontId="17" fillId="7" borderId="3" xfId="4" applyFont="1" applyFill="1" applyBorder="1" applyAlignment="1">
      <alignment horizontal="left" vertical="center"/>
    </xf>
    <xf numFmtId="0" fontId="17" fillId="7" borderId="4" xfId="4" applyFont="1" applyFill="1" applyBorder="1" applyAlignment="1">
      <alignment horizontal="left" vertical="center"/>
    </xf>
    <xf numFmtId="0" fontId="21" fillId="4" borderId="7" xfId="4" applyFont="1" applyFill="1" applyBorder="1" applyAlignment="1">
      <alignment horizontal="center" vertical="center"/>
    </xf>
    <xf numFmtId="0" fontId="17" fillId="7" borderId="7" xfId="4" applyFont="1" applyFill="1" applyBorder="1" applyAlignment="1">
      <alignment horizontal="left" vertical="center"/>
    </xf>
    <xf numFmtId="0" fontId="17" fillId="0" borderId="3" xfId="4" applyFont="1" applyBorder="1" applyAlignment="1">
      <alignment horizontal="center" vertical="center"/>
    </xf>
    <xf numFmtId="0" fontId="17" fillId="0" borderId="7" xfId="4" applyFont="1" applyBorder="1" applyAlignment="1">
      <alignment horizontal="center" vertical="center"/>
    </xf>
    <xf numFmtId="0" fontId="17" fillId="0" borderId="4" xfId="4" applyFont="1" applyBorder="1" applyAlignment="1">
      <alignment horizontal="center" vertical="center"/>
    </xf>
    <xf numFmtId="0" fontId="17" fillId="0" borderId="4" xfId="4" applyFont="1" applyBorder="1" applyAlignment="1">
      <alignment horizontal="left" vertical="center" wrapText="1"/>
    </xf>
    <xf numFmtId="2" fontId="17" fillId="7" borderId="3" xfId="4" applyNumberFormat="1" applyFont="1" applyFill="1" applyBorder="1" applyAlignment="1">
      <alignment horizontal="left" vertical="center"/>
    </xf>
    <xf numFmtId="2" fontId="17" fillId="7" borderId="4" xfId="4" applyNumberFormat="1" applyFont="1" applyFill="1" applyBorder="1" applyAlignment="1">
      <alignment horizontal="left" vertical="center"/>
    </xf>
    <xf numFmtId="0" fontId="19" fillId="4" borderId="4" xfId="4" applyFont="1" applyFill="1" applyBorder="1" applyAlignment="1">
      <alignment horizontal="center" vertical="center"/>
    </xf>
    <xf numFmtId="0" fontId="17" fillId="7" borderId="3" xfId="4" applyFont="1" applyFill="1" applyBorder="1" applyAlignment="1">
      <alignment horizontal="center" vertical="center"/>
    </xf>
    <xf numFmtId="0" fontId="17" fillId="7" borderId="7" xfId="4" applyFont="1" applyFill="1" applyBorder="1" applyAlignment="1">
      <alignment horizontal="center" vertical="center"/>
    </xf>
    <xf numFmtId="0" fontId="17" fillId="7" borderId="4" xfId="4" applyFont="1" applyFill="1" applyBorder="1" applyAlignment="1">
      <alignment horizontal="center" vertical="center"/>
    </xf>
    <xf numFmtId="0" fontId="21" fillId="7" borderId="7" xfId="4" applyFont="1" applyFill="1" applyBorder="1" applyAlignment="1">
      <alignment horizontal="left" vertical="center" wrapText="1"/>
    </xf>
    <xf numFmtId="0" fontId="7" fillId="4" borderId="3" xfId="4" applyFont="1" applyFill="1" applyBorder="1" applyAlignment="1">
      <alignment horizontal="center" vertical="center"/>
    </xf>
    <xf numFmtId="0" fontId="7" fillId="4" borderId="7" xfId="4" applyFont="1" applyFill="1" applyBorder="1" applyAlignment="1">
      <alignment horizontal="center" vertical="center"/>
    </xf>
    <xf numFmtId="0" fontId="17" fillId="3" borderId="17" xfId="4" applyFont="1" applyFill="1" applyBorder="1" applyAlignment="1">
      <alignment horizontal="left" vertical="center"/>
    </xf>
    <xf numFmtId="0" fontId="17" fillId="3" borderId="19" xfId="4" applyFont="1" applyFill="1" applyBorder="1" applyAlignment="1">
      <alignment horizontal="left" vertical="center"/>
    </xf>
    <xf numFmtId="0" fontId="19" fillId="3" borderId="10" xfId="4" applyFont="1" applyFill="1" applyBorder="1" applyAlignment="1">
      <alignment horizontal="center" vertical="center" wrapText="1"/>
    </xf>
    <xf numFmtId="0" fontId="19" fillId="3" borderId="1" xfId="4" applyFont="1" applyFill="1" applyBorder="1" applyAlignment="1">
      <alignment horizontal="center" vertical="center" wrapText="1"/>
    </xf>
    <xf numFmtId="17" fontId="10" fillId="3" borderId="10" xfId="4" applyNumberFormat="1" applyFont="1" applyFill="1" applyBorder="1" applyAlignment="1">
      <alignment horizontal="center" vertical="center"/>
    </xf>
    <xf numFmtId="17" fontId="10" fillId="3" borderId="11" xfId="4" applyNumberFormat="1" applyFont="1" applyFill="1" applyBorder="1" applyAlignment="1">
      <alignment horizontal="center" vertical="center"/>
    </xf>
    <xf numFmtId="0" fontId="21" fillId="0" borderId="1" xfId="4" applyFont="1" applyBorder="1" applyAlignment="1">
      <alignment horizontal="center" vertical="center"/>
    </xf>
    <xf numFmtId="0" fontId="21" fillId="0" borderId="11" xfId="4" applyFont="1" applyBorder="1" applyAlignment="1">
      <alignment horizontal="center" vertical="center"/>
    </xf>
    <xf numFmtId="0" fontId="22" fillId="3" borderId="3" xfId="4" applyFont="1" applyFill="1" applyBorder="1" applyAlignment="1">
      <alignment horizontal="center" vertical="center"/>
    </xf>
    <xf numFmtId="0" fontId="22" fillId="3" borderId="7" xfId="4" applyFont="1" applyFill="1" applyBorder="1" applyAlignment="1">
      <alignment horizontal="center" vertical="center"/>
    </xf>
    <xf numFmtId="0" fontId="19" fillId="0" borderId="3" xfId="4" applyFont="1" applyBorder="1" applyAlignment="1">
      <alignment horizontal="center" vertical="center"/>
    </xf>
    <xf numFmtId="0" fontId="19" fillId="0" borderId="7" xfId="4" applyFont="1" applyBorder="1" applyAlignment="1">
      <alignment horizontal="center" vertical="center"/>
    </xf>
    <xf numFmtId="0" fontId="16" fillId="7" borderId="3" xfId="4" applyFont="1" applyFill="1" applyBorder="1" applyAlignment="1">
      <alignment horizontal="left" vertical="center" wrapText="1"/>
    </xf>
    <xf numFmtId="0" fontId="16" fillId="7" borderId="7" xfId="4" applyFont="1" applyFill="1" applyBorder="1" applyAlignment="1">
      <alignment horizontal="left" vertical="center" wrapText="1"/>
    </xf>
    <xf numFmtId="0" fontId="16" fillId="0" borderId="18" xfId="4" applyFont="1" applyBorder="1" applyAlignment="1">
      <alignment horizontal="left" vertical="center" wrapText="1"/>
    </xf>
    <xf numFmtId="0" fontId="16" fillId="0" borderId="3" xfId="4" applyFont="1" applyBorder="1" applyAlignment="1">
      <alignment horizontal="left" vertical="center" wrapText="1"/>
    </xf>
    <xf numFmtId="0" fontId="16" fillId="0" borderId="7" xfId="4" applyFont="1" applyBorder="1" applyAlignment="1">
      <alignment horizontal="left" vertical="center" wrapText="1"/>
    </xf>
    <xf numFmtId="0" fontId="16" fillId="7" borderId="4" xfId="4" applyFont="1" applyFill="1" applyBorder="1" applyAlignment="1">
      <alignment horizontal="left" vertical="center" wrapText="1"/>
    </xf>
    <xf numFmtId="0" fontId="16" fillId="0" borderId="3" xfId="4" applyFont="1" applyBorder="1" applyAlignment="1">
      <alignment vertical="center" wrapText="1"/>
    </xf>
    <xf numFmtId="0" fontId="16" fillId="0" borderId="7" xfId="4" applyFont="1" applyBorder="1" applyAlignment="1">
      <alignment vertical="center" wrapText="1"/>
    </xf>
    <xf numFmtId="0" fontId="8" fillId="0" borderId="2" xfId="5" applyBorder="1" applyAlignment="1">
      <alignment horizontal="center" vertical="center"/>
    </xf>
    <xf numFmtId="0" fontId="8" fillId="0" borderId="2" xfId="5" applyBorder="1" applyAlignment="1">
      <alignment horizontal="center" vertical="center" wrapText="1"/>
    </xf>
    <xf numFmtId="0" fontId="8" fillId="0" borderId="8" xfId="5" applyBorder="1" applyAlignment="1">
      <alignment horizontal="center" vertical="center" wrapText="1"/>
    </xf>
    <xf numFmtId="0" fontId="8" fillId="0" borderId="9" xfId="5" applyBorder="1" applyAlignment="1">
      <alignment horizontal="center" vertical="center" wrapText="1"/>
    </xf>
    <xf numFmtId="0" fontId="7" fillId="0" borderId="3" xfId="5" applyFont="1" applyBorder="1" applyAlignment="1">
      <alignment horizontal="center" vertical="center"/>
    </xf>
    <xf numFmtId="0" fontId="7" fillId="0" borderId="7" xfId="5" applyFont="1" applyBorder="1" applyAlignment="1">
      <alignment horizontal="center" vertical="center"/>
    </xf>
    <xf numFmtId="0" fontId="7" fillId="0" borderId="2" xfId="5" applyFont="1" applyBorder="1" applyAlignment="1">
      <alignment horizontal="center" vertical="center" wrapText="1"/>
    </xf>
    <xf numFmtId="0" fontId="8" fillId="0" borderId="3" xfId="5" applyBorder="1" applyAlignment="1">
      <alignment horizontal="center" vertical="center" wrapText="1"/>
    </xf>
    <xf numFmtId="0" fontId="8" fillId="0" borderId="4" xfId="5" applyBorder="1" applyAlignment="1">
      <alignment horizontal="center" vertical="center" wrapText="1"/>
    </xf>
    <xf numFmtId="0" fontId="7" fillId="0" borderId="2" xfId="5" applyFont="1" applyBorder="1" applyAlignment="1">
      <alignment horizontal="center" vertical="center"/>
    </xf>
    <xf numFmtId="0" fontId="19" fillId="3" borderId="11" xfId="4" applyFont="1" applyFill="1" applyBorder="1" applyAlignment="1">
      <alignment horizontal="center" vertical="center" wrapText="1"/>
    </xf>
  </cellXfs>
  <cellStyles count="9">
    <cellStyle name="Normal" xfId="0" builtinId="0"/>
    <cellStyle name="Normal 2" xfId="1" xr:uid="{00000000-0005-0000-0000-000001000000}"/>
    <cellStyle name="Normal 2 2" xfId="3" xr:uid="{C7CFDF46-4C5F-49AA-80C3-C2FA8FE40D14}"/>
    <cellStyle name="Normal 2 2 2" xfId="4" xr:uid="{8CA48B5B-5FE9-4366-9F81-F2E54256496B}"/>
    <cellStyle name="Normal 2 2 2 2" xfId="7" xr:uid="{51D17575-32FA-4BE3-9186-9E12E47F9ACF}"/>
    <cellStyle name="Normal 2 2 2 3" xfId="8" xr:uid="{889F1BA3-E93E-4BAE-B54F-830E43797746}"/>
    <cellStyle name="Normal 2 3" xfId="6" xr:uid="{157F7050-39D4-490E-BFAF-1E5F5F15E6C5}"/>
    <cellStyle name="Normal 5 2" xfId="2" xr:uid="{00000000-0005-0000-0000-000002000000}"/>
    <cellStyle name="Normal 8" xfId="5" xr:uid="{5DB4AEBC-BCDB-4135-BC87-8D903A2B3617}"/>
  </cellStyles>
  <dxfs count="32">
    <dxf>
      <fill>
        <patternFill>
          <bgColor indexed="10"/>
        </patternFill>
      </fill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ill>
        <patternFill>
          <bgColor indexed="13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ill>
        <patternFill>
          <bgColor indexed="13"/>
        </patternFill>
      </fill>
    </dxf>
    <dxf>
      <fill>
        <patternFill>
          <bgColor indexed="10"/>
        </patternFill>
      </fill>
    </dxf>
    <dxf>
      <fill>
        <patternFill patternType="solid">
          <fgColor auto="1"/>
          <bgColor rgb="FFFFFF00"/>
        </patternFill>
      </fill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ill>
        <patternFill>
          <bgColor indexed="13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ill>
        <patternFill>
          <bgColor indexed="13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ill>
        <patternFill>
          <bgColor indexed="13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ont>
        <condense val="0"/>
        <extend val="0"/>
        <color indexed="9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vmlDrawing10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vmlDrawing1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vmlDrawing12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vmlDrawing13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vmlDrawing14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vmlDrawing3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vmlDrawing4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vmlDrawing5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vmlDrawing6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vmlDrawing7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vmlDrawing8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vmlDrawing9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D2CD7D-5A84-4938-813A-DCAD2E26BDDA}">
  <dimension ref="A1:PH54"/>
  <sheetViews>
    <sheetView tabSelected="1" zoomScaleNormal="100" workbookViewId="0">
      <pane ySplit="4" topLeftCell="A5" activePane="bottomLeft" state="frozen"/>
      <selection activeCell="A3" sqref="A3:K3"/>
      <selection pane="bottomLeft"/>
    </sheetView>
  </sheetViews>
  <sheetFormatPr defaultRowHeight="12.75" x14ac:dyDescent="0.2"/>
  <cols>
    <col min="1" max="1" width="3" style="295" customWidth="1"/>
    <col min="2" max="2" width="8.7109375" style="295" customWidth="1"/>
    <col min="3" max="3" width="4.7109375" style="295" customWidth="1"/>
    <col min="4" max="4" width="8.7109375" style="295" customWidth="1"/>
    <col min="5" max="5" width="4.7109375" style="295" customWidth="1"/>
    <col min="6" max="6" width="8.7109375" style="295" customWidth="1"/>
    <col min="7" max="7" width="8.7109375" style="296" customWidth="1"/>
    <col min="8" max="8" width="6.7109375" style="296" customWidth="1"/>
    <col min="9" max="9" width="6.7109375" style="295" customWidth="1"/>
    <col min="10" max="10" width="8.7109375" style="295" customWidth="1"/>
    <col min="11" max="11" width="5.7109375" style="295" customWidth="1"/>
    <col min="12" max="12" width="8.7109375" style="295" customWidth="1"/>
    <col min="13" max="13" width="8.7109375" style="2" customWidth="1"/>
    <col min="14" max="14" width="5.7109375" style="295" customWidth="1"/>
    <col min="15" max="15" width="10.7109375" style="295" customWidth="1"/>
    <col min="16" max="19" width="10.7109375" style="295" hidden="1" customWidth="1"/>
    <col min="20" max="22" width="10.7109375" style="295" customWidth="1"/>
    <col min="23" max="26" width="9.7109375" style="295" customWidth="1"/>
    <col min="27" max="27" width="9.7109375" style="295" hidden="1" customWidth="1"/>
    <col min="28" max="31" width="9.7109375" style="295" customWidth="1"/>
    <col min="32" max="33" width="9.7109375" style="295" hidden="1" customWidth="1"/>
    <col min="34" max="38" width="9.7109375" style="295" customWidth="1"/>
    <col min="39" max="16384" width="9.140625" style="295"/>
  </cols>
  <sheetData>
    <row r="1" spans="1:346" x14ac:dyDescent="0.2">
      <c r="B1" s="300"/>
      <c r="C1" s="300"/>
      <c r="D1" s="300"/>
      <c r="E1" s="300"/>
      <c r="F1" s="300"/>
      <c r="G1" s="1"/>
      <c r="H1" s="1"/>
      <c r="I1" s="300"/>
    </row>
    <row r="2" spans="1:346" s="3" customFormat="1" ht="15" customHeight="1" x14ac:dyDescent="0.25">
      <c r="B2" s="338" t="s">
        <v>14</v>
      </c>
      <c r="C2" s="339"/>
      <c r="D2" s="339"/>
      <c r="E2" s="339"/>
      <c r="F2" s="339"/>
      <c r="G2" s="339"/>
      <c r="H2" s="339"/>
      <c r="I2" s="339"/>
      <c r="J2" s="340" t="s">
        <v>876</v>
      </c>
      <c r="K2" s="341"/>
      <c r="L2" s="341"/>
      <c r="M2" s="341"/>
      <c r="N2" s="341"/>
      <c r="O2" s="341"/>
      <c r="P2" s="341"/>
      <c r="Q2" s="341"/>
      <c r="R2" s="341"/>
      <c r="S2" s="341"/>
      <c r="T2" s="341"/>
      <c r="U2" s="341"/>
      <c r="V2" s="341"/>
      <c r="W2" s="341"/>
      <c r="X2" s="341"/>
      <c r="Y2" s="341"/>
      <c r="Z2" s="341"/>
      <c r="AA2" s="341"/>
      <c r="AB2" s="341"/>
      <c r="AC2" s="341"/>
      <c r="AD2" s="341"/>
      <c r="AE2" s="341"/>
      <c r="AF2" s="341"/>
      <c r="AG2" s="341"/>
      <c r="AH2" s="341"/>
      <c r="AI2" s="341"/>
      <c r="AJ2" s="341"/>
      <c r="AK2" s="341"/>
      <c r="AL2" s="342"/>
      <c r="AM2" s="4"/>
    </row>
    <row r="3" spans="1:346" ht="12.75" customHeight="1" x14ac:dyDescent="0.2">
      <c r="B3" s="343" t="s">
        <v>15</v>
      </c>
      <c r="C3" s="344" t="s">
        <v>16</v>
      </c>
      <c r="D3" s="344"/>
      <c r="E3" s="344"/>
      <c r="F3" s="344"/>
      <c r="G3" s="343" t="s">
        <v>17</v>
      </c>
      <c r="H3" s="343" t="s">
        <v>0</v>
      </c>
      <c r="I3" s="343"/>
      <c r="J3" s="334" t="s">
        <v>1</v>
      </c>
      <c r="K3" s="345" t="s">
        <v>2</v>
      </c>
      <c r="L3" s="334" t="s">
        <v>877</v>
      </c>
      <c r="M3" s="346" t="s">
        <v>18</v>
      </c>
      <c r="N3" s="332" t="s">
        <v>3</v>
      </c>
      <c r="O3" s="332" t="s">
        <v>19</v>
      </c>
      <c r="P3" s="335" t="s">
        <v>20</v>
      </c>
      <c r="Q3" s="336"/>
      <c r="R3" s="336"/>
      <c r="S3" s="337"/>
      <c r="T3" s="332" t="s">
        <v>21</v>
      </c>
      <c r="U3" s="332" t="s">
        <v>12</v>
      </c>
      <c r="V3" s="332" t="s">
        <v>13</v>
      </c>
      <c r="W3" s="329" t="s">
        <v>22</v>
      </c>
      <c r="X3" s="330"/>
      <c r="Y3" s="330"/>
      <c r="Z3" s="330"/>
      <c r="AA3" s="330"/>
      <c r="AB3" s="329" t="s">
        <v>23</v>
      </c>
      <c r="AC3" s="330"/>
      <c r="AD3" s="330"/>
      <c r="AE3" s="330"/>
      <c r="AF3" s="330"/>
      <c r="AG3" s="330"/>
      <c r="AH3" s="331"/>
      <c r="AI3" s="332" t="s">
        <v>24</v>
      </c>
      <c r="AJ3" s="334" t="s">
        <v>4</v>
      </c>
      <c r="AK3" s="334" t="s">
        <v>25</v>
      </c>
      <c r="AL3" s="334" t="s">
        <v>26</v>
      </c>
      <c r="AM3" s="5"/>
    </row>
    <row r="4" spans="1:346" ht="25.5" customHeight="1" x14ac:dyDescent="0.2">
      <c r="B4" s="343"/>
      <c r="C4" s="320" t="s">
        <v>5</v>
      </c>
      <c r="D4" s="321"/>
      <c r="E4" s="320" t="s">
        <v>6</v>
      </c>
      <c r="F4" s="321"/>
      <c r="G4" s="343"/>
      <c r="H4" s="298" t="s">
        <v>5</v>
      </c>
      <c r="I4" s="298" t="s">
        <v>6</v>
      </c>
      <c r="J4" s="334"/>
      <c r="K4" s="345"/>
      <c r="L4" s="334"/>
      <c r="M4" s="346"/>
      <c r="N4" s="333"/>
      <c r="O4" s="333"/>
      <c r="P4" s="297" t="s">
        <v>7</v>
      </c>
      <c r="Q4" s="297" t="s">
        <v>27</v>
      </c>
      <c r="R4" s="297" t="s">
        <v>10</v>
      </c>
      <c r="S4" s="297" t="s">
        <v>8</v>
      </c>
      <c r="T4" s="333"/>
      <c r="U4" s="333"/>
      <c r="V4" s="333"/>
      <c r="W4" s="6" t="s">
        <v>166</v>
      </c>
      <c r="X4" s="6" t="s">
        <v>167</v>
      </c>
      <c r="Y4" s="6" t="s">
        <v>168</v>
      </c>
      <c r="Z4" s="6" t="s">
        <v>169</v>
      </c>
      <c r="AA4" s="6" t="s">
        <v>28</v>
      </c>
      <c r="AB4" s="6" t="s">
        <v>166</v>
      </c>
      <c r="AC4" s="6" t="s">
        <v>167</v>
      </c>
      <c r="AD4" s="6" t="s">
        <v>168</v>
      </c>
      <c r="AE4" s="6" t="s">
        <v>169</v>
      </c>
      <c r="AF4" s="6" t="s">
        <v>191</v>
      </c>
      <c r="AG4" s="6" t="s">
        <v>192</v>
      </c>
      <c r="AH4" s="6" t="s">
        <v>11</v>
      </c>
      <c r="AI4" s="333"/>
      <c r="AJ4" s="334"/>
      <c r="AK4" s="334"/>
      <c r="AL4" s="334"/>
      <c r="AM4" s="5"/>
    </row>
    <row r="5" spans="1:346" s="18" customFormat="1" x14ac:dyDescent="0.2">
      <c r="A5" s="295"/>
      <c r="B5" s="8" t="s">
        <v>878</v>
      </c>
      <c r="C5" s="10" t="s">
        <v>131</v>
      </c>
      <c r="D5" s="9" t="s">
        <v>132</v>
      </c>
      <c r="E5" s="10" t="s">
        <v>131</v>
      </c>
      <c r="F5" s="9" t="s">
        <v>879</v>
      </c>
      <c r="G5" s="302">
        <v>3.33</v>
      </c>
      <c r="H5" s="303">
        <v>0</v>
      </c>
      <c r="I5" s="303">
        <v>1.9</v>
      </c>
      <c r="J5" s="13">
        <f t="shared" ref="J5:J38" si="0">IF(B5="","",(H5+I5)/2)</f>
        <v>0.95</v>
      </c>
      <c r="K5" s="14">
        <v>710</v>
      </c>
      <c r="L5" s="15">
        <f>IF($K5="","",IF($K5=710,$G5,""))</f>
        <v>3.33</v>
      </c>
      <c r="M5" s="16">
        <v>1.3</v>
      </c>
      <c r="N5" s="14" t="s">
        <v>134</v>
      </c>
      <c r="O5" s="17">
        <v>0</v>
      </c>
      <c r="P5" s="13">
        <f t="shared" ref="P5:P38" si="1">IF(N5="A",(G5*(M5+0.1)),0)</f>
        <v>0</v>
      </c>
      <c r="Q5" s="13">
        <f t="shared" ref="Q5:Q38" si="2">IF(N5="B",(G5*(M5+0.3)),0)</f>
        <v>0</v>
      </c>
      <c r="R5" s="13">
        <f t="shared" ref="R5:R38" si="3">IF(N5="PC",(G5*(M5+0.15)),0)</f>
        <v>0</v>
      </c>
      <c r="S5" s="13">
        <f t="shared" ref="S5:S38" si="4">IF(N5="C",(G5*M5),0)</f>
        <v>0</v>
      </c>
      <c r="T5" s="13">
        <f t="shared" ref="T5:T38" si="5">IF(B5="","",(G5*J5*M5)*1.05)</f>
        <v>4.3181775</v>
      </c>
      <c r="U5" s="13">
        <f>T5*0.05</f>
        <v>0.215908875</v>
      </c>
      <c r="V5" s="13">
        <f>T5*0.95</f>
        <v>4.1022686249999998</v>
      </c>
      <c r="W5" s="13">
        <f>IF($J5&lt;=1.5,U5*0.5,0)</f>
        <v>0.1079544375</v>
      </c>
      <c r="X5" s="13">
        <f>IF($J5&lt;=1.5,U5*0.5,0)</f>
        <v>0.1079544375</v>
      </c>
      <c r="Y5" s="13">
        <f t="shared" ref="Y5:Y25" si="6">IF(AND($J5&lt;=3,$J5&gt;1.5),U5*0.5,0)</f>
        <v>0</v>
      </c>
      <c r="Z5" s="13">
        <f t="shared" ref="Z5:Z26" si="7">IF(AND($J5&lt;=3,$J5&gt;1.5),U5*0.5,0)</f>
        <v>0</v>
      </c>
      <c r="AA5" s="13">
        <f t="shared" ref="AA5:AA38" si="8">IF(AND($J5&lt;=4.5,$J5&gt;3),U5*0.95,0)</f>
        <v>0</v>
      </c>
      <c r="AB5" s="13">
        <f>IF($J5&lt;=1.5,V5*0.49,0)</f>
        <v>2.0101116262500001</v>
      </c>
      <c r="AC5" s="13">
        <f>IF($J5&lt;=1.5,V5*0.5,0)</f>
        <v>2.0511343124999999</v>
      </c>
      <c r="AD5" s="13">
        <f>IF(AND($J5&gt;1.5,$J5&lt;=3),V5*0.47,0)</f>
        <v>0</v>
      </c>
      <c r="AE5" s="13">
        <f>IF(AND($J5&gt;1.5,$J5&lt;=3),V5*0.5,0)</f>
        <v>0</v>
      </c>
      <c r="AF5" s="13">
        <f>IF(AND($J5&gt;3,$J5&lt;=4.5),V5*0.47,0)</f>
        <v>0</v>
      </c>
      <c r="AG5" s="13">
        <f>IF(AND($J5&gt;3,$J5&lt;=4.5),V5*0.5,0)</f>
        <v>0</v>
      </c>
      <c r="AH5" s="13">
        <f t="shared" ref="AH5:AH38" si="9">IF(B5="","",IF($J5&lt;=1.5,V5*0.01,V5*0.03))</f>
        <v>4.1022686249999996E-2</v>
      </c>
      <c r="AI5" s="13">
        <f t="shared" ref="AI5:AI38" si="10">IF(B5="","",G5*M5)</f>
        <v>4.3290000000000006</v>
      </c>
      <c r="AJ5" s="13">
        <f t="shared" ref="AJ5:AJ38" si="11">IF(B5="","",T5)</f>
        <v>4.3181775</v>
      </c>
      <c r="AK5" s="13">
        <f t="shared" ref="AK5:AK38" si="12">IF(B5="","",IF(J5&gt;=1.25,IF(J5&lt;=2,G5*J5*2,0),0))</f>
        <v>0</v>
      </c>
      <c r="AL5" s="304">
        <f t="shared" ref="AL5:AL38" si="13">IF(B5="","",IF(J5&gt;2,G5*J5,0))</f>
        <v>0</v>
      </c>
      <c r="AM5" s="295"/>
      <c r="AN5" s="295"/>
      <c r="AO5" s="295"/>
      <c r="AP5" s="295"/>
      <c r="AQ5" s="295"/>
      <c r="AR5" s="295"/>
      <c r="AS5" s="295"/>
      <c r="AT5" s="295"/>
      <c r="AU5" s="295"/>
      <c r="AV5" s="295"/>
      <c r="AW5" s="295"/>
      <c r="AX5" s="295"/>
      <c r="AY5" s="295"/>
      <c r="AZ5" s="295"/>
      <c r="BA5" s="295"/>
      <c r="BB5" s="295"/>
      <c r="BC5" s="295"/>
      <c r="BD5" s="295"/>
      <c r="BE5" s="295"/>
      <c r="BF5" s="295"/>
      <c r="BG5" s="295"/>
      <c r="BH5" s="295"/>
      <c r="BI5" s="295"/>
      <c r="BJ5" s="295"/>
      <c r="BK5" s="295"/>
      <c r="BL5" s="295"/>
      <c r="BM5" s="295"/>
      <c r="BN5" s="295"/>
      <c r="BO5" s="295"/>
      <c r="BP5" s="295"/>
      <c r="BQ5" s="295"/>
      <c r="BR5" s="295"/>
      <c r="BS5" s="295"/>
      <c r="BT5" s="295"/>
      <c r="BU5" s="295"/>
      <c r="BV5" s="295"/>
      <c r="BW5" s="295"/>
      <c r="BX5" s="295"/>
      <c r="BY5" s="295"/>
      <c r="BZ5" s="295"/>
      <c r="CA5" s="295"/>
      <c r="CB5" s="295"/>
      <c r="CC5" s="295"/>
      <c r="CD5" s="295"/>
      <c r="CE5" s="295"/>
      <c r="CF5" s="295"/>
      <c r="CG5" s="295"/>
      <c r="CH5" s="295"/>
      <c r="CI5" s="295"/>
      <c r="CJ5" s="295"/>
      <c r="CK5" s="295"/>
      <c r="CL5" s="295"/>
      <c r="CM5" s="295"/>
      <c r="CN5" s="295"/>
      <c r="CO5" s="295"/>
      <c r="CP5" s="295"/>
      <c r="CQ5" s="295"/>
      <c r="CR5" s="295"/>
      <c r="CS5" s="295"/>
      <c r="CT5" s="295"/>
      <c r="CU5" s="295"/>
      <c r="CV5" s="295"/>
      <c r="CW5" s="295"/>
      <c r="CX5" s="295"/>
      <c r="CY5" s="295"/>
      <c r="CZ5" s="295"/>
      <c r="DA5" s="295"/>
      <c r="DB5" s="295"/>
      <c r="DC5" s="295"/>
      <c r="DD5" s="295"/>
      <c r="DE5" s="295"/>
      <c r="DF5" s="295"/>
      <c r="DG5" s="295"/>
      <c r="DH5" s="295"/>
      <c r="DI5" s="295"/>
      <c r="DJ5" s="295"/>
      <c r="DK5" s="295"/>
      <c r="DL5" s="295"/>
      <c r="DM5" s="295"/>
      <c r="DN5" s="295"/>
      <c r="DO5" s="295"/>
      <c r="DP5" s="295"/>
      <c r="DQ5" s="295"/>
      <c r="DR5" s="295"/>
      <c r="DS5" s="295"/>
      <c r="DT5" s="295"/>
      <c r="DU5" s="295"/>
      <c r="DV5" s="295"/>
      <c r="DW5" s="295"/>
      <c r="DX5" s="295"/>
      <c r="DY5" s="295"/>
      <c r="DZ5" s="295"/>
      <c r="EA5" s="295"/>
      <c r="EB5" s="295"/>
      <c r="EC5" s="295"/>
      <c r="ED5" s="295"/>
      <c r="EE5" s="295"/>
      <c r="EF5" s="295"/>
      <c r="EG5" s="295"/>
      <c r="EH5" s="295"/>
      <c r="EI5" s="295"/>
      <c r="EJ5" s="295"/>
      <c r="EK5" s="295"/>
      <c r="EL5" s="295"/>
      <c r="EM5" s="295"/>
      <c r="EN5" s="295"/>
      <c r="EO5" s="295"/>
      <c r="EP5" s="295"/>
      <c r="EQ5" s="295"/>
      <c r="ER5" s="295"/>
      <c r="ES5" s="295"/>
      <c r="ET5" s="295"/>
      <c r="EU5" s="295"/>
      <c r="EV5" s="295"/>
      <c r="EW5" s="295"/>
      <c r="EX5" s="295"/>
      <c r="EY5" s="295"/>
      <c r="EZ5" s="295"/>
      <c r="FA5" s="295"/>
      <c r="FB5" s="295"/>
      <c r="FC5" s="295"/>
      <c r="FD5" s="295"/>
      <c r="FE5" s="295"/>
      <c r="FF5" s="295"/>
      <c r="FG5" s="295"/>
      <c r="FH5" s="295"/>
      <c r="FI5" s="295"/>
      <c r="FJ5" s="295"/>
      <c r="FK5" s="295"/>
      <c r="FL5" s="295"/>
      <c r="FM5" s="295"/>
      <c r="FN5" s="295"/>
      <c r="FO5" s="295"/>
      <c r="FP5" s="295"/>
      <c r="FQ5" s="295"/>
      <c r="FR5" s="295"/>
      <c r="FS5" s="295"/>
      <c r="FT5" s="295"/>
      <c r="FU5" s="295"/>
      <c r="FV5" s="295"/>
      <c r="FW5" s="295"/>
      <c r="FX5" s="295"/>
      <c r="FY5" s="295"/>
      <c r="FZ5" s="295"/>
      <c r="GA5" s="295"/>
      <c r="GB5" s="295"/>
      <c r="GC5" s="295"/>
      <c r="GD5" s="295"/>
      <c r="GE5" s="295"/>
      <c r="GF5" s="295"/>
      <c r="GG5" s="295"/>
      <c r="GH5" s="295"/>
      <c r="GI5" s="295"/>
      <c r="GJ5" s="295"/>
      <c r="GK5" s="295"/>
      <c r="GL5" s="295"/>
      <c r="GM5" s="295"/>
      <c r="GN5" s="295"/>
      <c r="GO5" s="295"/>
      <c r="GP5" s="295"/>
      <c r="GQ5" s="295"/>
      <c r="GR5" s="295"/>
      <c r="GS5" s="295"/>
      <c r="GT5" s="295"/>
      <c r="GU5" s="295"/>
      <c r="GV5" s="295"/>
      <c r="GW5" s="295"/>
      <c r="GX5" s="295"/>
      <c r="GY5" s="295"/>
      <c r="GZ5" s="295"/>
      <c r="HA5" s="295"/>
      <c r="HB5" s="295"/>
      <c r="HC5" s="295"/>
      <c r="HD5" s="295"/>
      <c r="HE5" s="295"/>
      <c r="HF5" s="295"/>
      <c r="HG5" s="295"/>
      <c r="HH5" s="295"/>
      <c r="HI5" s="295"/>
      <c r="HJ5" s="295"/>
      <c r="HK5" s="295"/>
      <c r="HL5" s="295"/>
      <c r="HM5" s="295"/>
      <c r="HN5" s="295"/>
      <c r="HO5" s="295"/>
      <c r="HP5" s="295"/>
      <c r="HQ5" s="295"/>
      <c r="HR5" s="295"/>
      <c r="HS5" s="295"/>
      <c r="HT5" s="295"/>
      <c r="HU5" s="295"/>
      <c r="HV5" s="295"/>
      <c r="HW5" s="295"/>
      <c r="HX5" s="295"/>
      <c r="HY5" s="295"/>
      <c r="HZ5" s="295"/>
      <c r="IA5" s="295"/>
      <c r="IB5" s="295"/>
      <c r="IC5" s="295"/>
      <c r="ID5" s="295"/>
      <c r="IE5" s="295"/>
      <c r="IF5" s="295"/>
      <c r="IG5" s="295"/>
      <c r="IH5" s="295"/>
      <c r="II5" s="295"/>
      <c r="IJ5" s="295"/>
      <c r="IK5" s="295"/>
      <c r="IL5" s="295"/>
      <c r="IM5" s="295"/>
      <c r="IN5" s="295"/>
      <c r="IO5" s="295"/>
      <c r="IP5" s="295"/>
      <c r="IQ5" s="295"/>
      <c r="IR5" s="295"/>
      <c r="IS5" s="295"/>
      <c r="IT5" s="295"/>
      <c r="IU5" s="295"/>
      <c r="IV5" s="295"/>
      <c r="IW5" s="295"/>
      <c r="IX5" s="295"/>
      <c r="IY5" s="295"/>
      <c r="IZ5" s="295"/>
      <c r="JA5" s="295"/>
      <c r="JB5" s="295"/>
      <c r="JC5" s="295"/>
      <c r="JD5" s="295"/>
      <c r="JE5" s="295"/>
      <c r="JF5" s="295"/>
      <c r="JG5" s="295"/>
      <c r="JH5" s="295"/>
      <c r="JI5" s="295"/>
      <c r="JJ5" s="295"/>
      <c r="JK5" s="295"/>
      <c r="JL5" s="295"/>
      <c r="JM5" s="295"/>
      <c r="JN5" s="295"/>
      <c r="JO5" s="295"/>
      <c r="JP5" s="295"/>
      <c r="JQ5" s="295"/>
      <c r="JR5" s="295"/>
      <c r="JS5" s="295"/>
      <c r="JT5" s="295"/>
      <c r="JU5" s="295"/>
      <c r="JV5" s="295"/>
      <c r="JW5" s="295"/>
      <c r="JX5" s="295"/>
      <c r="JY5" s="295"/>
      <c r="JZ5" s="295"/>
      <c r="KA5" s="295"/>
      <c r="KB5" s="295"/>
      <c r="KC5" s="295"/>
      <c r="KD5" s="295"/>
      <c r="KE5" s="295"/>
      <c r="KF5" s="295"/>
      <c r="KG5" s="295"/>
      <c r="KH5" s="295"/>
      <c r="KI5" s="295"/>
      <c r="KJ5" s="295"/>
      <c r="KK5" s="295"/>
      <c r="KL5" s="295"/>
      <c r="KM5" s="295"/>
      <c r="KN5" s="295"/>
      <c r="KO5" s="295"/>
      <c r="KP5" s="295"/>
      <c r="KQ5" s="295"/>
      <c r="KR5" s="295"/>
      <c r="KS5" s="295"/>
      <c r="KT5" s="295"/>
      <c r="KU5" s="295"/>
      <c r="KV5" s="295"/>
      <c r="KW5" s="295"/>
      <c r="KX5" s="295"/>
      <c r="KY5" s="295"/>
      <c r="KZ5" s="295"/>
      <c r="LA5" s="295"/>
      <c r="LB5" s="295"/>
      <c r="LC5" s="295"/>
      <c r="LD5" s="295"/>
      <c r="LE5" s="295"/>
      <c r="LF5" s="295"/>
      <c r="LG5" s="295"/>
      <c r="LH5" s="295"/>
      <c r="LI5" s="295"/>
      <c r="LJ5" s="295"/>
      <c r="LK5" s="295"/>
      <c r="LL5" s="295"/>
      <c r="LM5" s="295"/>
      <c r="LN5" s="295"/>
      <c r="LO5" s="295"/>
      <c r="LP5" s="295"/>
      <c r="LQ5" s="295"/>
      <c r="LR5" s="295"/>
      <c r="LS5" s="295"/>
      <c r="LT5" s="295"/>
      <c r="LU5" s="295"/>
      <c r="LV5" s="295"/>
      <c r="LW5" s="295"/>
      <c r="LX5" s="295"/>
      <c r="LY5" s="295"/>
      <c r="LZ5" s="295"/>
      <c r="MA5" s="295"/>
      <c r="MB5" s="295"/>
      <c r="MC5" s="295"/>
      <c r="MD5" s="295"/>
      <c r="ME5" s="295"/>
      <c r="MF5" s="295"/>
      <c r="MG5" s="295"/>
      <c r="MH5" s="295"/>
    </row>
    <row r="6" spans="1:346" s="18" customFormat="1" x14ac:dyDescent="0.2">
      <c r="A6" s="295"/>
      <c r="B6" s="8" t="s">
        <v>878</v>
      </c>
      <c r="C6" s="10" t="str">
        <f>E5</f>
        <v>0</v>
      </c>
      <c r="D6" s="9" t="str">
        <f>F5</f>
        <v>+03,33</v>
      </c>
      <c r="E6" s="10" t="s">
        <v>880</v>
      </c>
      <c r="F6" s="9" t="s">
        <v>881</v>
      </c>
      <c r="G6" s="302">
        <v>184.48</v>
      </c>
      <c r="H6" s="303">
        <f>I5</f>
        <v>1.9</v>
      </c>
      <c r="I6" s="303">
        <v>1.9</v>
      </c>
      <c r="J6" s="13">
        <f t="shared" si="0"/>
        <v>1.9</v>
      </c>
      <c r="K6" s="14">
        <v>710</v>
      </c>
      <c r="L6" s="15">
        <f t="shared" ref="L6:L38" si="14">IF($K6="","",IF($K6=710,$G6,""))</f>
        <v>184.48</v>
      </c>
      <c r="M6" s="16">
        <v>1.3</v>
      </c>
      <c r="N6" s="14" t="s">
        <v>134</v>
      </c>
      <c r="O6" s="17">
        <v>0</v>
      </c>
      <c r="P6" s="13">
        <f t="shared" si="1"/>
        <v>0</v>
      </c>
      <c r="Q6" s="13">
        <f t="shared" si="2"/>
        <v>0</v>
      </c>
      <c r="R6" s="13">
        <f t="shared" si="3"/>
        <v>0</v>
      </c>
      <c r="S6" s="13">
        <f t="shared" si="4"/>
        <v>0</v>
      </c>
      <c r="T6" s="13">
        <f t="shared" si="5"/>
        <v>478.44887999999992</v>
      </c>
      <c r="U6" s="13">
        <f t="shared" ref="U6:U38" si="15">T6*0.05</f>
        <v>23.922443999999999</v>
      </c>
      <c r="V6" s="13">
        <f t="shared" ref="V6:V38" si="16">T6*0.95</f>
        <v>454.52643599999988</v>
      </c>
      <c r="W6" s="13">
        <f t="shared" ref="W6:W26" si="17">IF($J6&lt;=1.5,U6*0.5,0)</f>
        <v>0</v>
      </c>
      <c r="X6" s="13">
        <f t="shared" ref="X6:X26" si="18">IF($J6&lt;=1.5,U6*0.5,0)</f>
        <v>0</v>
      </c>
      <c r="Y6" s="13">
        <f t="shared" si="6"/>
        <v>11.961221999999999</v>
      </c>
      <c r="Z6" s="13">
        <f t="shared" si="7"/>
        <v>11.961221999999999</v>
      </c>
      <c r="AA6" s="13">
        <f t="shared" si="8"/>
        <v>0</v>
      </c>
      <c r="AB6" s="13">
        <f t="shared" ref="AB6:AB26" si="19">IF($J6&lt;=1.5,V6*0.49,0)</f>
        <v>0</v>
      </c>
      <c r="AC6" s="13">
        <f t="shared" ref="AC6:AC26" si="20">IF($J6&lt;=1.5,V6*0.5,0)</f>
        <v>0</v>
      </c>
      <c r="AD6" s="13">
        <f t="shared" ref="AD6:AD26" si="21">IF(AND($J6&gt;1.5,$J6&lt;=3),V6*0.47,0)</f>
        <v>213.62742491999992</v>
      </c>
      <c r="AE6" s="13">
        <f t="shared" ref="AE6:AE26" si="22">IF(AND($J6&gt;1.5,$J6&lt;=4),V6*0.5,0)</f>
        <v>227.26321799999994</v>
      </c>
      <c r="AF6" s="13">
        <f t="shared" ref="AF6:AF38" si="23">IF(AND($J6&gt;3,$J6&lt;=4.5),V6*0.47,0)</f>
        <v>0</v>
      </c>
      <c r="AG6" s="13">
        <f t="shared" ref="AG6:AG38" si="24">IF(AND($J6&gt;3,$J6&lt;=4.5),V6*0.5,0)</f>
        <v>0</v>
      </c>
      <c r="AH6" s="13">
        <f t="shared" si="9"/>
        <v>13.635793079999996</v>
      </c>
      <c r="AI6" s="13">
        <f t="shared" si="10"/>
        <v>239.82399999999998</v>
      </c>
      <c r="AJ6" s="13">
        <f t="shared" si="11"/>
        <v>478.44887999999992</v>
      </c>
      <c r="AK6" s="13">
        <f t="shared" si="12"/>
        <v>701.02399999999989</v>
      </c>
      <c r="AL6" s="13">
        <f t="shared" si="13"/>
        <v>0</v>
      </c>
      <c r="AM6" s="295"/>
      <c r="AN6" s="295"/>
      <c r="AO6" s="295"/>
      <c r="AP6" s="295"/>
      <c r="AQ6" s="295"/>
      <c r="AR6" s="295"/>
      <c r="AS6" s="295"/>
      <c r="AT6" s="295"/>
      <c r="AU6" s="295"/>
      <c r="AV6" s="295"/>
      <c r="AW6" s="295"/>
      <c r="AX6" s="295"/>
      <c r="AY6" s="295"/>
      <c r="AZ6" s="295"/>
      <c r="BA6" s="295"/>
      <c r="BB6" s="295"/>
      <c r="BC6" s="295"/>
      <c r="BD6" s="295"/>
      <c r="BE6" s="295"/>
      <c r="BF6" s="295"/>
      <c r="BG6" s="295"/>
      <c r="BH6" s="295"/>
      <c r="BI6" s="295"/>
      <c r="BJ6" s="295"/>
      <c r="BK6" s="295"/>
      <c r="BL6" s="295"/>
      <c r="BM6" s="295"/>
      <c r="BN6" s="295"/>
      <c r="BO6" s="295"/>
      <c r="BP6" s="295"/>
      <c r="BQ6" s="295"/>
      <c r="BR6" s="295"/>
      <c r="BS6" s="295"/>
      <c r="BT6" s="295"/>
      <c r="BU6" s="295"/>
      <c r="BV6" s="295"/>
      <c r="BW6" s="295"/>
      <c r="BX6" s="295"/>
      <c r="BY6" s="295"/>
      <c r="BZ6" s="295"/>
      <c r="CA6" s="295"/>
      <c r="CB6" s="295"/>
      <c r="CC6" s="295"/>
      <c r="CD6" s="295"/>
      <c r="CE6" s="295"/>
      <c r="CF6" s="295"/>
      <c r="CG6" s="295"/>
      <c r="CH6" s="295"/>
      <c r="CI6" s="295"/>
      <c r="CJ6" s="295"/>
      <c r="CK6" s="295"/>
      <c r="CL6" s="295"/>
      <c r="CM6" s="295"/>
      <c r="CN6" s="295"/>
      <c r="CO6" s="295"/>
      <c r="CP6" s="295"/>
      <c r="CQ6" s="295"/>
      <c r="CR6" s="295"/>
      <c r="CS6" s="295"/>
      <c r="CT6" s="295"/>
      <c r="CU6" s="295"/>
      <c r="CV6" s="295"/>
      <c r="CW6" s="295"/>
      <c r="CX6" s="295"/>
      <c r="CY6" s="295"/>
      <c r="CZ6" s="295"/>
      <c r="DA6" s="295"/>
      <c r="DB6" s="295"/>
      <c r="DC6" s="295"/>
      <c r="DD6" s="295"/>
      <c r="DE6" s="295"/>
      <c r="DF6" s="295"/>
      <c r="DG6" s="295"/>
      <c r="DH6" s="295"/>
      <c r="DI6" s="295"/>
      <c r="DJ6" s="295"/>
      <c r="DK6" s="295"/>
      <c r="DL6" s="295"/>
      <c r="DM6" s="295"/>
      <c r="DN6" s="295"/>
      <c r="DO6" s="295"/>
      <c r="DP6" s="295"/>
      <c r="DQ6" s="295"/>
      <c r="DR6" s="295"/>
      <c r="DS6" s="295"/>
      <c r="DT6" s="295"/>
      <c r="DU6" s="295"/>
      <c r="DV6" s="295"/>
      <c r="DW6" s="295"/>
      <c r="DX6" s="295"/>
      <c r="DY6" s="295"/>
      <c r="DZ6" s="295"/>
      <c r="EA6" s="295"/>
      <c r="EB6" s="295"/>
      <c r="EC6" s="295"/>
      <c r="ED6" s="295"/>
      <c r="EE6" s="295"/>
      <c r="EF6" s="295"/>
      <c r="EG6" s="295"/>
      <c r="EH6" s="295"/>
      <c r="EI6" s="295"/>
      <c r="EJ6" s="295"/>
      <c r="EK6" s="295"/>
      <c r="EL6" s="295"/>
      <c r="EM6" s="295"/>
      <c r="EN6" s="295"/>
      <c r="EO6" s="295"/>
      <c r="EP6" s="295"/>
      <c r="EQ6" s="295"/>
      <c r="ER6" s="295"/>
      <c r="ES6" s="295"/>
      <c r="ET6" s="295"/>
      <c r="EU6" s="295"/>
      <c r="EV6" s="295"/>
      <c r="EW6" s="295"/>
      <c r="EX6" s="295"/>
      <c r="EY6" s="295"/>
      <c r="EZ6" s="295"/>
      <c r="FA6" s="295"/>
      <c r="FB6" s="295"/>
      <c r="FC6" s="295"/>
      <c r="FD6" s="295"/>
      <c r="FE6" s="295"/>
      <c r="FF6" s="295"/>
      <c r="FG6" s="295"/>
      <c r="FH6" s="295"/>
      <c r="FI6" s="295"/>
      <c r="FJ6" s="295"/>
      <c r="FK6" s="295"/>
      <c r="FL6" s="295"/>
      <c r="FM6" s="295"/>
      <c r="FN6" s="295"/>
      <c r="FO6" s="295"/>
      <c r="FP6" s="295"/>
      <c r="FQ6" s="295"/>
      <c r="FR6" s="295"/>
      <c r="FS6" s="295"/>
      <c r="FT6" s="295"/>
      <c r="FU6" s="295"/>
      <c r="FV6" s="295"/>
      <c r="FW6" s="295"/>
      <c r="FX6" s="295"/>
      <c r="FY6" s="295"/>
      <c r="FZ6" s="295"/>
      <c r="GA6" s="295"/>
      <c r="GB6" s="295"/>
      <c r="GC6" s="295"/>
      <c r="GD6" s="295"/>
      <c r="GE6" s="295"/>
      <c r="GF6" s="295"/>
      <c r="GG6" s="295"/>
      <c r="GH6" s="295"/>
      <c r="GI6" s="295"/>
      <c r="GJ6" s="295"/>
      <c r="GK6" s="295"/>
      <c r="GL6" s="295"/>
      <c r="GM6" s="295"/>
      <c r="GN6" s="295"/>
      <c r="GO6" s="295"/>
      <c r="GP6" s="295"/>
      <c r="GQ6" s="295"/>
      <c r="GR6" s="295"/>
      <c r="GS6" s="295"/>
      <c r="GT6" s="295"/>
      <c r="GU6" s="295"/>
      <c r="GV6" s="295"/>
      <c r="GW6" s="295"/>
      <c r="GX6" s="295"/>
      <c r="GY6" s="295"/>
      <c r="GZ6" s="295"/>
      <c r="HA6" s="295"/>
      <c r="HB6" s="295"/>
      <c r="HC6" s="295"/>
      <c r="HD6" s="295"/>
      <c r="HE6" s="295"/>
      <c r="HF6" s="295"/>
      <c r="HG6" s="295"/>
      <c r="HH6" s="295"/>
      <c r="HI6" s="295"/>
      <c r="HJ6" s="295"/>
      <c r="HK6" s="295"/>
      <c r="HL6" s="295"/>
      <c r="HM6" s="295"/>
      <c r="HN6" s="295"/>
      <c r="HO6" s="295"/>
      <c r="HP6" s="295"/>
      <c r="HQ6" s="295"/>
      <c r="HR6" s="295"/>
      <c r="HS6" s="295"/>
      <c r="HT6" s="295"/>
      <c r="HU6" s="295"/>
      <c r="HV6" s="295"/>
      <c r="HW6" s="295"/>
      <c r="HX6" s="295"/>
      <c r="HY6" s="295"/>
      <c r="HZ6" s="295"/>
      <c r="IA6" s="295"/>
      <c r="IB6" s="295"/>
      <c r="IC6" s="295"/>
      <c r="ID6" s="295"/>
      <c r="IE6" s="295"/>
      <c r="IF6" s="295"/>
      <c r="IG6" s="295"/>
      <c r="IH6" s="295"/>
      <c r="II6" s="295"/>
      <c r="IJ6" s="295"/>
      <c r="IK6" s="295"/>
      <c r="IL6" s="295"/>
      <c r="IM6" s="295"/>
      <c r="IN6" s="295"/>
      <c r="IO6" s="295"/>
      <c r="IP6" s="295"/>
      <c r="IQ6" s="295"/>
      <c r="IR6" s="295"/>
      <c r="IS6" s="295"/>
      <c r="IT6" s="295"/>
      <c r="IU6" s="295"/>
      <c r="IV6" s="295"/>
      <c r="IW6" s="295"/>
      <c r="IX6" s="295"/>
      <c r="IY6" s="295"/>
      <c r="IZ6" s="295"/>
      <c r="JA6" s="295"/>
      <c r="JB6" s="295"/>
      <c r="JC6" s="295"/>
      <c r="JD6" s="295"/>
      <c r="JE6" s="295"/>
      <c r="JF6" s="295"/>
      <c r="JG6" s="295"/>
      <c r="JH6" s="295"/>
      <c r="JI6" s="295"/>
      <c r="JJ6" s="295"/>
      <c r="JK6" s="295"/>
      <c r="JL6" s="295"/>
      <c r="JM6" s="295"/>
      <c r="JN6" s="295"/>
      <c r="JO6" s="295"/>
      <c r="JP6" s="295"/>
      <c r="JQ6" s="295"/>
      <c r="JR6" s="295"/>
      <c r="JS6" s="295"/>
      <c r="JT6" s="295"/>
      <c r="JU6" s="295"/>
      <c r="JV6" s="295"/>
      <c r="JW6" s="295"/>
      <c r="JX6" s="295"/>
      <c r="JY6" s="295"/>
      <c r="JZ6" s="295"/>
      <c r="KA6" s="295"/>
      <c r="KB6" s="295"/>
      <c r="KC6" s="295"/>
      <c r="KD6" s="295"/>
      <c r="KE6" s="295"/>
      <c r="KF6" s="295"/>
      <c r="KG6" s="295"/>
      <c r="KH6" s="295"/>
      <c r="KI6" s="295"/>
      <c r="KJ6" s="295"/>
      <c r="KK6" s="295"/>
      <c r="KL6" s="295"/>
      <c r="KM6" s="295"/>
      <c r="KN6" s="295"/>
      <c r="KO6" s="295"/>
      <c r="KP6" s="295"/>
      <c r="KQ6" s="295"/>
      <c r="KR6" s="295"/>
      <c r="KS6" s="295"/>
      <c r="KT6" s="295"/>
      <c r="KU6" s="295"/>
      <c r="KV6" s="295"/>
      <c r="KW6" s="295"/>
      <c r="KX6" s="295"/>
      <c r="KY6" s="295"/>
      <c r="KZ6" s="295"/>
      <c r="LA6" s="295"/>
      <c r="LB6" s="295"/>
      <c r="LC6" s="295"/>
      <c r="LD6" s="295"/>
      <c r="LE6" s="295"/>
      <c r="LF6" s="295"/>
      <c r="LG6" s="295"/>
      <c r="LH6" s="295"/>
      <c r="LI6" s="295"/>
      <c r="LJ6" s="295"/>
      <c r="LK6" s="295"/>
      <c r="LL6" s="295"/>
      <c r="LM6" s="295"/>
      <c r="LN6" s="295"/>
      <c r="LO6" s="295"/>
      <c r="LP6" s="295"/>
      <c r="LQ6" s="295"/>
      <c r="LR6" s="295"/>
      <c r="LS6" s="295"/>
      <c r="LT6" s="295"/>
      <c r="LU6" s="295"/>
      <c r="LV6" s="295"/>
      <c r="LW6" s="295"/>
      <c r="LX6" s="295"/>
      <c r="LY6" s="295"/>
      <c r="LZ6" s="295"/>
      <c r="MA6" s="295"/>
      <c r="MB6" s="295"/>
      <c r="MC6" s="295"/>
      <c r="MD6" s="295"/>
      <c r="ME6" s="295"/>
      <c r="MF6" s="295"/>
      <c r="MG6" s="295"/>
      <c r="MH6" s="295"/>
    </row>
    <row r="7" spans="1:346" s="18" customFormat="1" x14ac:dyDescent="0.2">
      <c r="A7" s="295"/>
      <c r="B7" s="8" t="s">
        <v>878</v>
      </c>
      <c r="C7" s="10" t="str">
        <f t="shared" ref="C7:D38" si="25">E6</f>
        <v>9</v>
      </c>
      <c r="D7" s="9" t="str">
        <f t="shared" si="25"/>
        <v>+07,81</v>
      </c>
      <c r="E7" s="10" t="s">
        <v>133</v>
      </c>
      <c r="F7" s="9" t="s">
        <v>882</v>
      </c>
      <c r="G7" s="302">
        <v>39.17</v>
      </c>
      <c r="H7" s="303">
        <f t="shared" ref="H7:H38" si="26">I6</f>
        <v>1.9</v>
      </c>
      <c r="I7" s="303">
        <v>1.9</v>
      </c>
      <c r="J7" s="13">
        <f t="shared" si="0"/>
        <v>1.9</v>
      </c>
      <c r="K7" s="14">
        <v>710</v>
      </c>
      <c r="L7" s="15">
        <f t="shared" si="14"/>
        <v>39.17</v>
      </c>
      <c r="M7" s="16">
        <v>1.3</v>
      </c>
      <c r="N7" s="14" t="s">
        <v>134</v>
      </c>
      <c r="O7" s="17">
        <v>0</v>
      </c>
      <c r="P7" s="13">
        <f t="shared" si="1"/>
        <v>0</v>
      </c>
      <c r="Q7" s="13">
        <f t="shared" si="2"/>
        <v>0</v>
      </c>
      <c r="R7" s="13">
        <f t="shared" si="3"/>
        <v>0</v>
      </c>
      <c r="S7" s="13">
        <f t="shared" si="4"/>
        <v>0</v>
      </c>
      <c r="T7" s="13">
        <f t="shared" si="5"/>
        <v>101.58739500000001</v>
      </c>
      <c r="U7" s="13">
        <f t="shared" si="15"/>
        <v>5.0793697500000015</v>
      </c>
      <c r="V7" s="13">
        <f t="shared" si="16"/>
        <v>96.508025250000003</v>
      </c>
      <c r="W7" s="13">
        <f t="shared" si="17"/>
        <v>0</v>
      </c>
      <c r="X7" s="13">
        <f t="shared" si="18"/>
        <v>0</v>
      </c>
      <c r="Y7" s="13">
        <f t="shared" si="6"/>
        <v>2.5396848750000007</v>
      </c>
      <c r="Z7" s="13">
        <f t="shared" si="7"/>
        <v>2.5396848750000007</v>
      </c>
      <c r="AA7" s="13">
        <f t="shared" si="8"/>
        <v>0</v>
      </c>
      <c r="AB7" s="13">
        <f t="shared" si="19"/>
        <v>0</v>
      </c>
      <c r="AC7" s="13">
        <f t="shared" si="20"/>
        <v>0</v>
      </c>
      <c r="AD7" s="13">
        <f t="shared" si="21"/>
        <v>45.358771867499996</v>
      </c>
      <c r="AE7" s="13">
        <f t="shared" si="22"/>
        <v>48.254012625000001</v>
      </c>
      <c r="AF7" s="13">
        <f t="shared" si="23"/>
        <v>0</v>
      </c>
      <c r="AG7" s="13">
        <f t="shared" si="24"/>
        <v>0</v>
      </c>
      <c r="AH7" s="13">
        <f t="shared" si="9"/>
        <v>2.8952407574999999</v>
      </c>
      <c r="AI7" s="13">
        <f t="shared" si="10"/>
        <v>50.921000000000006</v>
      </c>
      <c r="AJ7" s="13">
        <f t="shared" si="11"/>
        <v>101.58739500000001</v>
      </c>
      <c r="AK7" s="13">
        <f t="shared" si="12"/>
        <v>148.846</v>
      </c>
      <c r="AL7" s="13">
        <f t="shared" si="13"/>
        <v>0</v>
      </c>
      <c r="AM7" s="295"/>
      <c r="AN7" s="295"/>
      <c r="AO7" s="295"/>
      <c r="AP7" s="295"/>
      <c r="AQ7" s="295"/>
      <c r="AR7" s="295"/>
      <c r="AS7" s="295"/>
      <c r="AT7" s="295"/>
      <c r="AU7" s="295"/>
      <c r="AV7" s="295"/>
      <c r="AW7" s="295"/>
      <c r="AX7" s="295"/>
      <c r="AY7" s="295"/>
      <c r="AZ7" s="295"/>
      <c r="BA7" s="295"/>
      <c r="BB7" s="295"/>
      <c r="BC7" s="295"/>
      <c r="BD7" s="295"/>
      <c r="BE7" s="295"/>
      <c r="BF7" s="295"/>
      <c r="BG7" s="295"/>
      <c r="BH7" s="295"/>
      <c r="BI7" s="295"/>
      <c r="BJ7" s="295"/>
      <c r="BK7" s="295"/>
      <c r="BL7" s="295"/>
      <c r="BM7" s="295"/>
      <c r="BN7" s="295"/>
      <c r="BO7" s="295"/>
      <c r="BP7" s="295"/>
      <c r="BQ7" s="295"/>
      <c r="BR7" s="295"/>
      <c r="BS7" s="295"/>
      <c r="BT7" s="295"/>
      <c r="BU7" s="295"/>
      <c r="BV7" s="295"/>
      <c r="BW7" s="295"/>
      <c r="BX7" s="295"/>
      <c r="BY7" s="295"/>
      <c r="BZ7" s="295"/>
      <c r="CA7" s="295"/>
      <c r="CB7" s="295"/>
      <c r="CC7" s="295"/>
      <c r="CD7" s="295"/>
      <c r="CE7" s="295"/>
      <c r="CF7" s="295"/>
      <c r="CG7" s="295"/>
      <c r="CH7" s="295"/>
      <c r="CI7" s="295"/>
      <c r="CJ7" s="295"/>
      <c r="CK7" s="295"/>
      <c r="CL7" s="295"/>
      <c r="CM7" s="295"/>
      <c r="CN7" s="295"/>
      <c r="CO7" s="295"/>
      <c r="CP7" s="295"/>
      <c r="CQ7" s="295"/>
      <c r="CR7" s="295"/>
      <c r="CS7" s="295"/>
      <c r="CT7" s="295"/>
      <c r="CU7" s="295"/>
      <c r="CV7" s="295"/>
      <c r="CW7" s="295"/>
      <c r="CX7" s="295"/>
      <c r="CY7" s="295"/>
      <c r="CZ7" s="295"/>
      <c r="DA7" s="295"/>
      <c r="DB7" s="295"/>
      <c r="DC7" s="295"/>
      <c r="DD7" s="295"/>
      <c r="DE7" s="295"/>
      <c r="DF7" s="295"/>
      <c r="DG7" s="295"/>
      <c r="DH7" s="295"/>
      <c r="DI7" s="295"/>
      <c r="DJ7" s="295"/>
      <c r="DK7" s="295"/>
      <c r="DL7" s="295"/>
      <c r="DM7" s="295"/>
      <c r="DN7" s="295"/>
      <c r="DO7" s="295"/>
      <c r="DP7" s="295"/>
      <c r="DQ7" s="295"/>
      <c r="DR7" s="295"/>
      <c r="DS7" s="295"/>
      <c r="DT7" s="295"/>
      <c r="DU7" s="295"/>
      <c r="DV7" s="295"/>
      <c r="DW7" s="295"/>
      <c r="DX7" s="295"/>
      <c r="DY7" s="295"/>
      <c r="DZ7" s="295"/>
      <c r="EA7" s="295"/>
      <c r="EB7" s="295"/>
      <c r="EC7" s="295"/>
      <c r="ED7" s="295"/>
      <c r="EE7" s="295"/>
      <c r="EF7" s="295"/>
      <c r="EG7" s="295"/>
      <c r="EH7" s="295"/>
      <c r="EI7" s="295"/>
      <c r="EJ7" s="295"/>
      <c r="EK7" s="295"/>
      <c r="EL7" s="295"/>
      <c r="EM7" s="295"/>
      <c r="EN7" s="295"/>
      <c r="EO7" s="295"/>
      <c r="EP7" s="295"/>
      <c r="EQ7" s="295"/>
      <c r="ER7" s="295"/>
      <c r="ES7" s="295"/>
      <c r="ET7" s="295"/>
      <c r="EU7" s="295"/>
      <c r="EV7" s="295"/>
      <c r="EW7" s="295"/>
      <c r="EX7" s="295"/>
      <c r="EY7" s="295"/>
      <c r="EZ7" s="295"/>
      <c r="FA7" s="295"/>
      <c r="FB7" s="295"/>
      <c r="FC7" s="295"/>
      <c r="FD7" s="295"/>
      <c r="FE7" s="295"/>
      <c r="FF7" s="295"/>
      <c r="FG7" s="295"/>
      <c r="FH7" s="295"/>
      <c r="FI7" s="295"/>
      <c r="FJ7" s="295"/>
      <c r="FK7" s="295"/>
      <c r="FL7" s="295"/>
      <c r="FM7" s="295"/>
      <c r="FN7" s="295"/>
      <c r="FO7" s="295"/>
      <c r="FP7" s="295"/>
      <c r="FQ7" s="295"/>
      <c r="FR7" s="295"/>
      <c r="FS7" s="295"/>
      <c r="FT7" s="295"/>
      <c r="FU7" s="295"/>
      <c r="FV7" s="295"/>
      <c r="FW7" s="295"/>
      <c r="FX7" s="295"/>
      <c r="FY7" s="295"/>
      <c r="FZ7" s="295"/>
      <c r="GA7" s="295"/>
      <c r="GB7" s="295"/>
      <c r="GC7" s="295"/>
      <c r="GD7" s="295"/>
      <c r="GE7" s="295"/>
      <c r="GF7" s="295"/>
      <c r="GG7" s="295"/>
      <c r="GH7" s="295"/>
      <c r="GI7" s="295"/>
      <c r="GJ7" s="295"/>
      <c r="GK7" s="295"/>
      <c r="GL7" s="295"/>
      <c r="GM7" s="295"/>
      <c r="GN7" s="295"/>
      <c r="GO7" s="295"/>
      <c r="GP7" s="295"/>
      <c r="GQ7" s="295"/>
      <c r="GR7" s="295"/>
      <c r="GS7" s="295"/>
      <c r="GT7" s="295"/>
      <c r="GU7" s="295"/>
      <c r="GV7" s="295"/>
      <c r="GW7" s="295"/>
      <c r="GX7" s="295"/>
      <c r="GY7" s="295"/>
      <c r="GZ7" s="295"/>
      <c r="HA7" s="295"/>
      <c r="HB7" s="295"/>
      <c r="HC7" s="295"/>
      <c r="HD7" s="295"/>
      <c r="HE7" s="295"/>
      <c r="HF7" s="295"/>
      <c r="HG7" s="295"/>
      <c r="HH7" s="295"/>
      <c r="HI7" s="295"/>
      <c r="HJ7" s="295"/>
      <c r="HK7" s="295"/>
      <c r="HL7" s="295"/>
      <c r="HM7" s="295"/>
      <c r="HN7" s="295"/>
      <c r="HO7" s="295"/>
      <c r="HP7" s="295"/>
      <c r="HQ7" s="295"/>
      <c r="HR7" s="295"/>
      <c r="HS7" s="295"/>
      <c r="HT7" s="295"/>
      <c r="HU7" s="295"/>
      <c r="HV7" s="295"/>
      <c r="HW7" s="295"/>
      <c r="HX7" s="295"/>
      <c r="HY7" s="295"/>
      <c r="HZ7" s="295"/>
      <c r="IA7" s="295"/>
      <c r="IB7" s="295"/>
      <c r="IC7" s="295"/>
      <c r="ID7" s="295"/>
      <c r="IE7" s="295"/>
      <c r="IF7" s="295"/>
      <c r="IG7" s="295"/>
      <c r="IH7" s="295"/>
      <c r="II7" s="295"/>
      <c r="IJ7" s="295"/>
      <c r="IK7" s="295"/>
      <c r="IL7" s="295"/>
      <c r="IM7" s="295"/>
      <c r="IN7" s="295"/>
      <c r="IO7" s="295"/>
      <c r="IP7" s="295"/>
      <c r="IQ7" s="295"/>
      <c r="IR7" s="295"/>
      <c r="IS7" s="295"/>
      <c r="IT7" s="295"/>
      <c r="IU7" s="295"/>
      <c r="IV7" s="295"/>
      <c r="IW7" s="295"/>
      <c r="IX7" s="295"/>
      <c r="IY7" s="295"/>
      <c r="IZ7" s="295"/>
      <c r="JA7" s="295"/>
      <c r="JB7" s="295"/>
      <c r="JC7" s="295"/>
      <c r="JD7" s="295"/>
      <c r="JE7" s="295"/>
      <c r="JF7" s="295"/>
      <c r="JG7" s="295"/>
      <c r="JH7" s="295"/>
      <c r="JI7" s="295"/>
      <c r="JJ7" s="295"/>
      <c r="JK7" s="295"/>
      <c r="JL7" s="295"/>
      <c r="JM7" s="295"/>
      <c r="JN7" s="295"/>
      <c r="JO7" s="295"/>
      <c r="JP7" s="295"/>
      <c r="JQ7" s="295"/>
      <c r="JR7" s="295"/>
      <c r="JS7" s="295"/>
      <c r="JT7" s="295"/>
      <c r="JU7" s="295"/>
      <c r="JV7" s="295"/>
      <c r="JW7" s="295"/>
      <c r="JX7" s="295"/>
      <c r="JY7" s="295"/>
      <c r="JZ7" s="295"/>
      <c r="KA7" s="295"/>
      <c r="KB7" s="295"/>
      <c r="KC7" s="295"/>
      <c r="KD7" s="295"/>
      <c r="KE7" s="295"/>
      <c r="KF7" s="295"/>
      <c r="KG7" s="295"/>
      <c r="KH7" s="295"/>
      <c r="KI7" s="295"/>
      <c r="KJ7" s="295"/>
      <c r="KK7" s="295"/>
      <c r="KL7" s="295"/>
      <c r="KM7" s="295"/>
      <c r="KN7" s="295"/>
      <c r="KO7" s="295"/>
      <c r="KP7" s="295"/>
      <c r="KQ7" s="295"/>
      <c r="KR7" s="295"/>
      <c r="KS7" s="295"/>
      <c r="KT7" s="295"/>
      <c r="KU7" s="295"/>
      <c r="KV7" s="295"/>
      <c r="KW7" s="295"/>
      <c r="KX7" s="295"/>
      <c r="KY7" s="295"/>
      <c r="KZ7" s="295"/>
      <c r="LA7" s="295"/>
      <c r="LB7" s="295"/>
      <c r="LC7" s="295"/>
      <c r="LD7" s="295"/>
      <c r="LE7" s="295"/>
      <c r="LF7" s="295"/>
      <c r="LG7" s="295"/>
      <c r="LH7" s="295"/>
      <c r="LI7" s="295"/>
      <c r="LJ7" s="295"/>
      <c r="LK7" s="295"/>
      <c r="LL7" s="295"/>
      <c r="LM7" s="295"/>
      <c r="LN7" s="295"/>
      <c r="LO7" s="295"/>
      <c r="LP7" s="295"/>
      <c r="LQ7" s="295"/>
      <c r="LR7" s="295"/>
      <c r="LS7" s="295"/>
      <c r="LT7" s="295"/>
      <c r="LU7" s="295"/>
      <c r="LV7" s="295"/>
      <c r="LW7" s="295"/>
      <c r="LX7" s="295"/>
      <c r="LY7" s="295"/>
      <c r="LZ7" s="295"/>
      <c r="MA7" s="295"/>
      <c r="MB7" s="295"/>
      <c r="MC7" s="295"/>
      <c r="MD7" s="295"/>
      <c r="ME7" s="295"/>
      <c r="MF7" s="295"/>
      <c r="MG7" s="295"/>
      <c r="MH7" s="295"/>
    </row>
    <row r="8" spans="1:346" s="18" customFormat="1" x14ac:dyDescent="0.2">
      <c r="A8" s="295"/>
      <c r="B8" s="8" t="s">
        <v>878</v>
      </c>
      <c r="C8" s="10" t="str">
        <f t="shared" si="25"/>
        <v>11</v>
      </c>
      <c r="D8" s="9" t="str">
        <f t="shared" si="25"/>
        <v>+06,98</v>
      </c>
      <c r="E8" s="10" t="s">
        <v>883</v>
      </c>
      <c r="F8" s="9" t="s">
        <v>884</v>
      </c>
      <c r="G8" s="302">
        <v>109.09</v>
      </c>
      <c r="H8" s="303">
        <f t="shared" si="26"/>
        <v>1.9</v>
      </c>
      <c r="I8" s="303">
        <v>1.9</v>
      </c>
      <c r="J8" s="13">
        <f t="shared" si="0"/>
        <v>1.9</v>
      </c>
      <c r="K8" s="14">
        <v>710</v>
      </c>
      <c r="L8" s="15">
        <f t="shared" si="14"/>
        <v>109.09</v>
      </c>
      <c r="M8" s="16">
        <v>1.3</v>
      </c>
      <c r="N8" s="14" t="s">
        <v>134</v>
      </c>
      <c r="O8" s="17">
        <v>0</v>
      </c>
      <c r="P8" s="13">
        <f t="shared" si="1"/>
        <v>0</v>
      </c>
      <c r="Q8" s="13">
        <f t="shared" si="2"/>
        <v>0</v>
      </c>
      <c r="R8" s="13">
        <f t="shared" si="3"/>
        <v>0</v>
      </c>
      <c r="S8" s="13">
        <f t="shared" si="4"/>
        <v>0</v>
      </c>
      <c r="T8" s="13">
        <f t="shared" si="5"/>
        <v>282.924915</v>
      </c>
      <c r="U8" s="13">
        <f t="shared" si="15"/>
        <v>14.14624575</v>
      </c>
      <c r="V8" s="13">
        <f t="shared" si="16"/>
        <v>268.77866925000001</v>
      </c>
      <c r="W8" s="13">
        <f t="shared" si="17"/>
        <v>0</v>
      </c>
      <c r="X8" s="13">
        <f t="shared" si="18"/>
        <v>0</v>
      </c>
      <c r="Y8" s="13">
        <f t="shared" si="6"/>
        <v>7.0731228750000001</v>
      </c>
      <c r="Z8" s="13">
        <f t="shared" si="7"/>
        <v>7.0731228750000001</v>
      </c>
      <c r="AA8" s="13">
        <f t="shared" si="8"/>
        <v>0</v>
      </c>
      <c r="AB8" s="13">
        <f t="shared" si="19"/>
        <v>0</v>
      </c>
      <c r="AC8" s="13">
        <f t="shared" si="20"/>
        <v>0</v>
      </c>
      <c r="AD8" s="13">
        <f t="shared" si="21"/>
        <v>126.3259745475</v>
      </c>
      <c r="AE8" s="13">
        <f t="shared" si="22"/>
        <v>134.389334625</v>
      </c>
      <c r="AF8" s="13">
        <f t="shared" si="23"/>
        <v>0</v>
      </c>
      <c r="AG8" s="13">
        <f t="shared" si="24"/>
        <v>0</v>
      </c>
      <c r="AH8" s="13">
        <f t="shared" si="9"/>
        <v>8.0633600775000005</v>
      </c>
      <c r="AI8" s="13">
        <f t="shared" si="10"/>
        <v>141.81700000000001</v>
      </c>
      <c r="AJ8" s="13">
        <f t="shared" si="11"/>
        <v>282.924915</v>
      </c>
      <c r="AK8" s="13">
        <f t="shared" si="12"/>
        <v>414.54199999999997</v>
      </c>
      <c r="AL8" s="13">
        <f t="shared" si="13"/>
        <v>0</v>
      </c>
      <c r="AM8" s="295"/>
      <c r="AN8" s="295"/>
      <c r="AO8" s="295"/>
      <c r="AP8" s="295"/>
      <c r="AQ8" s="295"/>
      <c r="AR8" s="295"/>
      <c r="AS8" s="295"/>
      <c r="AT8" s="295"/>
      <c r="AU8" s="295"/>
      <c r="AV8" s="295"/>
      <c r="AW8" s="295"/>
      <c r="AX8" s="295"/>
      <c r="AY8" s="295"/>
      <c r="AZ8" s="295"/>
      <c r="BA8" s="295"/>
      <c r="BB8" s="295"/>
      <c r="BC8" s="295"/>
      <c r="BD8" s="295"/>
      <c r="BE8" s="295"/>
      <c r="BF8" s="295"/>
      <c r="BG8" s="295"/>
      <c r="BH8" s="295"/>
      <c r="BI8" s="295"/>
      <c r="BJ8" s="295"/>
      <c r="BK8" s="295"/>
      <c r="BL8" s="295"/>
      <c r="BM8" s="295"/>
      <c r="BN8" s="295"/>
      <c r="BO8" s="295"/>
      <c r="BP8" s="295"/>
      <c r="BQ8" s="295"/>
      <c r="BR8" s="295"/>
      <c r="BS8" s="295"/>
      <c r="BT8" s="295"/>
      <c r="BU8" s="295"/>
      <c r="BV8" s="295"/>
      <c r="BW8" s="295"/>
      <c r="BX8" s="295"/>
      <c r="BY8" s="295"/>
      <c r="BZ8" s="295"/>
      <c r="CA8" s="295"/>
      <c r="CB8" s="295"/>
      <c r="CC8" s="295"/>
      <c r="CD8" s="295"/>
      <c r="CE8" s="295"/>
      <c r="CF8" s="295"/>
      <c r="CG8" s="295"/>
      <c r="CH8" s="295"/>
      <c r="CI8" s="295"/>
      <c r="CJ8" s="295"/>
      <c r="CK8" s="295"/>
      <c r="CL8" s="295"/>
      <c r="CM8" s="295"/>
      <c r="CN8" s="295"/>
      <c r="CO8" s="295"/>
      <c r="CP8" s="295"/>
      <c r="CQ8" s="295"/>
      <c r="CR8" s="295"/>
      <c r="CS8" s="295"/>
      <c r="CT8" s="295"/>
      <c r="CU8" s="295"/>
      <c r="CV8" s="295"/>
      <c r="CW8" s="295"/>
      <c r="CX8" s="295"/>
      <c r="CY8" s="295"/>
      <c r="CZ8" s="295"/>
      <c r="DA8" s="295"/>
      <c r="DB8" s="295"/>
      <c r="DC8" s="295"/>
      <c r="DD8" s="295"/>
      <c r="DE8" s="295"/>
      <c r="DF8" s="295"/>
      <c r="DG8" s="295"/>
      <c r="DH8" s="295"/>
      <c r="DI8" s="295"/>
      <c r="DJ8" s="295"/>
      <c r="DK8" s="295"/>
      <c r="DL8" s="295"/>
      <c r="DM8" s="295"/>
      <c r="DN8" s="295"/>
      <c r="DO8" s="295"/>
      <c r="DP8" s="295"/>
      <c r="DQ8" s="295"/>
      <c r="DR8" s="295"/>
      <c r="DS8" s="295"/>
      <c r="DT8" s="295"/>
      <c r="DU8" s="295"/>
      <c r="DV8" s="295"/>
      <c r="DW8" s="295"/>
      <c r="DX8" s="295"/>
      <c r="DY8" s="295"/>
      <c r="DZ8" s="295"/>
      <c r="EA8" s="295"/>
      <c r="EB8" s="295"/>
      <c r="EC8" s="295"/>
      <c r="ED8" s="295"/>
      <c r="EE8" s="295"/>
      <c r="EF8" s="295"/>
      <c r="EG8" s="295"/>
      <c r="EH8" s="295"/>
      <c r="EI8" s="295"/>
      <c r="EJ8" s="295"/>
      <c r="EK8" s="295"/>
      <c r="EL8" s="295"/>
      <c r="EM8" s="295"/>
      <c r="EN8" s="295"/>
      <c r="EO8" s="295"/>
      <c r="EP8" s="295"/>
      <c r="EQ8" s="295"/>
      <c r="ER8" s="295"/>
      <c r="ES8" s="295"/>
      <c r="ET8" s="295"/>
      <c r="EU8" s="295"/>
      <c r="EV8" s="295"/>
      <c r="EW8" s="295"/>
      <c r="EX8" s="295"/>
      <c r="EY8" s="295"/>
      <c r="EZ8" s="295"/>
      <c r="FA8" s="295"/>
      <c r="FB8" s="295"/>
      <c r="FC8" s="295"/>
      <c r="FD8" s="295"/>
      <c r="FE8" s="295"/>
      <c r="FF8" s="295"/>
      <c r="FG8" s="295"/>
      <c r="FH8" s="295"/>
      <c r="FI8" s="295"/>
      <c r="FJ8" s="295"/>
      <c r="FK8" s="295"/>
      <c r="FL8" s="295"/>
      <c r="FM8" s="295"/>
      <c r="FN8" s="295"/>
      <c r="FO8" s="295"/>
      <c r="FP8" s="295"/>
      <c r="FQ8" s="295"/>
      <c r="FR8" s="295"/>
      <c r="FS8" s="295"/>
      <c r="FT8" s="295"/>
      <c r="FU8" s="295"/>
      <c r="FV8" s="295"/>
      <c r="FW8" s="295"/>
      <c r="FX8" s="295"/>
      <c r="FY8" s="295"/>
      <c r="FZ8" s="295"/>
      <c r="GA8" s="295"/>
      <c r="GB8" s="295"/>
      <c r="GC8" s="295"/>
      <c r="GD8" s="295"/>
      <c r="GE8" s="295"/>
      <c r="GF8" s="295"/>
      <c r="GG8" s="295"/>
      <c r="GH8" s="295"/>
      <c r="GI8" s="295"/>
      <c r="GJ8" s="295"/>
      <c r="GK8" s="295"/>
      <c r="GL8" s="295"/>
      <c r="GM8" s="295"/>
      <c r="GN8" s="295"/>
      <c r="GO8" s="295"/>
      <c r="GP8" s="295"/>
      <c r="GQ8" s="295"/>
      <c r="GR8" s="295"/>
      <c r="GS8" s="295"/>
      <c r="GT8" s="295"/>
      <c r="GU8" s="295"/>
      <c r="GV8" s="295"/>
      <c r="GW8" s="295"/>
      <c r="GX8" s="295"/>
      <c r="GY8" s="295"/>
      <c r="GZ8" s="295"/>
      <c r="HA8" s="295"/>
      <c r="HB8" s="295"/>
      <c r="HC8" s="295"/>
      <c r="HD8" s="295"/>
      <c r="HE8" s="295"/>
      <c r="HF8" s="295"/>
      <c r="HG8" s="295"/>
      <c r="HH8" s="295"/>
      <c r="HI8" s="295"/>
      <c r="HJ8" s="295"/>
      <c r="HK8" s="295"/>
      <c r="HL8" s="295"/>
      <c r="HM8" s="295"/>
      <c r="HN8" s="295"/>
      <c r="HO8" s="295"/>
      <c r="HP8" s="295"/>
      <c r="HQ8" s="295"/>
      <c r="HR8" s="295"/>
      <c r="HS8" s="295"/>
      <c r="HT8" s="295"/>
      <c r="HU8" s="295"/>
      <c r="HV8" s="295"/>
      <c r="HW8" s="295"/>
      <c r="HX8" s="295"/>
      <c r="HY8" s="295"/>
      <c r="HZ8" s="295"/>
      <c r="IA8" s="295"/>
      <c r="IB8" s="295"/>
      <c r="IC8" s="295"/>
      <c r="ID8" s="295"/>
      <c r="IE8" s="295"/>
      <c r="IF8" s="295"/>
      <c r="IG8" s="295"/>
      <c r="IH8" s="295"/>
      <c r="II8" s="295"/>
      <c r="IJ8" s="295"/>
      <c r="IK8" s="295"/>
      <c r="IL8" s="295"/>
      <c r="IM8" s="295"/>
      <c r="IN8" s="295"/>
      <c r="IO8" s="295"/>
      <c r="IP8" s="295"/>
      <c r="IQ8" s="295"/>
      <c r="IR8" s="295"/>
      <c r="IS8" s="295"/>
      <c r="IT8" s="295"/>
      <c r="IU8" s="295"/>
      <c r="IV8" s="295"/>
      <c r="IW8" s="295"/>
      <c r="IX8" s="295"/>
      <c r="IY8" s="295"/>
      <c r="IZ8" s="295"/>
      <c r="JA8" s="295"/>
      <c r="JB8" s="295"/>
      <c r="JC8" s="295"/>
      <c r="JD8" s="295"/>
      <c r="JE8" s="295"/>
      <c r="JF8" s="295"/>
      <c r="JG8" s="295"/>
      <c r="JH8" s="295"/>
      <c r="JI8" s="295"/>
      <c r="JJ8" s="295"/>
      <c r="JK8" s="295"/>
      <c r="JL8" s="295"/>
      <c r="JM8" s="295"/>
      <c r="JN8" s="295"/>
      <c r="JO8" s="295"/>
      <c r="JP8" s="295"/>
      <c r="JQ8" s="295"/>
      <c r="JR8" s="295"/>
      <c r="JS8" s="295"/>
      <c r="JT8" s="295"/>
      <c r="JU8" s="295"/>
      <c r="JV8" s="295"/>
      <c r="JW8" s="295"/>
      <c r="JX8" s="295"/>
      <c r="JY8" s="295"/>
      <c r="JZ8" s="295"/>
      <c r="KA8" s="295"/>
      <c r="KB8" s="295"/>
      <c r="KC8" s="295"/>
      <c r="KD8" s="295"/>
      <c r="KE8" s="295"/>
      <c r="KF8" s="295"/>
      <c r="KG8" s="295"/>
      <c r="KH8" s="295"/>
      <c r="KI8" s="295"/>
      <c r="KJ8" s="295"/>
      <c r="KK8" s="295"/>
      <c r="KL8" s="295"/>
      <c r="KM8" s="295"/>
      <c r="KN8" s="295"/>
      <c r="KO8" s="295"/>
      <c r="KP8" s="295"/>
      <c r="KQ8" s="295"/>
      <c r="KR8" s="295"/>
      <c r="KS8" s="295"/>
      <c r="KT8" s="295"/>
      <c r="KU8" s="295"/>
      <c r="KV8" s="295"/>
      <c r="KW8" s="295"/>
      <c r="KX8" s="295"/>
      <c r="KY8" s="295"/>
      <c r="KZ8" s="295"/>
      <c r="LA8" s="295"/>
      <c r="LB8" s="295"/>
      <c r="LC8" s="295"/>
      <c r="LD8" s="295"/>
      <c r="LE8" s="295"/>
      <c r="LF8" s="295"/>
      <c r="LG8" s="295"/>
      <c r="LH8" s="295"/>
      <c r="LI8" s="295"/>
      <c r="LJ8" s="295"/>
      <c r="LK8" s="295"/>
      <c r="LL8" s="295"/>
      <c r="LM8" s="295"/>
      <c r="LN8" s="295"/>
      <c r="LO8" s="295"/>
      <c r="LP8" s="295"/>
      <c r="LQ8" s="295"/>
      <c r="LR8" s="295"/>
      <c r="LS8" s="295"/>
      <c r="LT8" s="295"/>
      <c r="LU8" s="295"/>
      <c r="LV8" s="295"/>
      <c r="LW8" s="295"/>
      <c r="LX8" s="295"/>
      <c r="LY8" s="295"/>
      <c r="LZ8" s="295"/>
      <c r="MA8" s="295"/>
      <c r="MB8" s="295"/>
      <c r="MC8" s="295"/>
      <c r="MD8" s="295"/>
      <c r="ME8" s="295"/>
      <c r="MF8" s="295"/>
      <c r="MG8" s="295"/>
      <c r="MH8" s="295"/>
    </row>
    <row r="9" spans="1:346" s="18" customFormat="1" x14ac:dyDescent="0.2">
      <c r="A9" s="295"/>
      <c r="B9" s="8" t="s">
        <v>878</v>
      </c>
      <c r="C9" s="10" t="str">
        <f t="shared" si="25"/>
        <v>16</v>
      </c>
      <c r="D9" s="9" t="str">
        <f t="shared" si="25"/>
        <v>+16,07</v>
      </c>
      <c r="E9" s="10" t="s">
        <v>885</v>
      </c>
      <c r="F9" s="9" t="s">
        <v>886</v>
      </c>
      <c r="G9" s="302">
        <v>127.08</v>
      </c>
      <c r="H9" s="303">
        <f t="shared" si="26"/>
        <v>1.9</v>
      </c>
      <c r="I9" s="303">
        <v>1.9</v>
      </c>
      <c r="J9" s="13">
        <f t="shared" si="0"/>
        <v>1.9</v>
      </c>
      <c r="K9" s="14">
        <v>710</v>
      </c>
      <c r="L9" s="15">
        <f t="shared" si="14"/>
        <v>127.08</v>
      </c>
      <c r="M9" s="16">
        <v>1.3</v>
      </c>
      <c r="N9" s="14" t="s">
        <v>134</v>
      </c>
      <c r="O9" s="17">
        <f t="shared" ref="O9:O36" si="27">IF(B9="","",IF(N9="T",G9*6,))</f>
        <v>762.48</v>
      </c>
      <c r="P9" s="13">
        <f t="shared" si="1"/>
        <v>0</v>
      </c>
      <c r="Q9" s="13">
        <f t="shared" si="2"/>
        <v>0</v>
      </c>
      <c r="R9" s="13">
        <f t="shared" si="3"/>
        <v>0</v>
      </c>
      <c r="S9" s="13">
        <f t="shared" si="4"/>
        <v>0</v>
      </c>
      <c r="T9" s="13">
        <f t="shared" si="5"/>
        <v>329.58198000000004</v>
      </c>
      <c r="U9" s="13">
        <f t="shared" si="15"/>
        <v>16.479099000000001</v>
      </c>
      <c r="V9" s="13">
        <f t="shared" si="16"/>
        <v>313.10288100000002</v>
      </c>
      <c r="W9" s="13">
        <f t="shared" si="17"/>
        <v>0</v>
      </c>
      <c r="X9" s="13">
        <f t="shared" si="18"/>
        <v>0</v>
      </c>
      <c r="Y9" s="13">
        <f t="shared" si="6"/>
        <v>8.2395495000000007</v>
      </c>
      <c r="Z9" s="13">
        <f t="shared" si="7"/>
        <v>8.2395495000000007</v>
      </c>
      <c r="AA9" s="13">
        <f t="shared" si="8"/>
        <v>0</v>
      </c>
      <c r="AB9" s="13">
        <f t="shared" si="19"/>
        <v>0</v>
      </c>
      <c r="AC9" s="13">
        <f t="shared" si="20"/>
        <v>0</v>
      </c>
      <c r="AD9" s="13">
        <f t="shared" si="21"/>
        <v>147.15835407</v>
      </c>
      <c r="AE9" s="13">
        <f t="shared" si="22"/>
        <v>156.55144050000001</v>
      </c>
      <c r="AF9" s="13">
        <f t="shared" si="23"/>
        <v>0</v>
      </c>
      <c r="AG9" s="13">
        <f t="shared" si="24"/>
        <v>0</v>
      </c>
      <c r="AH9" s="13">
        <f t="shared" si="9"/>
        <v>9.3930864300000003</v>
      </c>
      <c r="AI9" s="13">
        <f t="shared" si="10"/>
        <v>165.20400000000001</v>
      </c>
      <c r="AJ9" s="13">
        <f t="shared" si="11"/>
        <v>329.58198000000004</v>
      </c>
      <c r="AK9" s="13">
        <f t="shared" si="12"/>
        <v>482.904</v>
      </c>
      <c r="AL9" s="13">
        <f t="shared" si="13"/>
        <v>0</v>
      </c>
      <c r="AM9" s="295"/>
      <c r="AN9" s="295"/>
      <c r="AO9" s="295"/>
      <c r="AP9" s="295"/>
      <c r="AQ9" s="295"/>
      <c r="AR9" s="295"/>
      <c r="AS9" s="295"/>
      <c r="AT9" s="295"/>
      <c r="AU9" s="295"/>
      <c r="AV9" s="295"/>
      <c r="AW9" s="295"/>
      <c r="AX9" s="295"/>
      <c r="AY9" s="295"/>
      <c r="AZ9" s="295"/>
      <c r="BA9" s="295"/>
      <c r="BB9" s="295"/>
      <c r="BC9" s="295"/>
      <c r="BD9" s="295"/>
      <c r="BE9" s="295"/>
      <c r="BF9" s="295"/>
      <c r="BG9" s="295"/>
      <c r="BH9" s="295"/>
      <c r="BI9" s="295"/>
      <c r="BJ9" s="295"/>
      <c r="BK9" s="295"/>
      <c r="BL9" s="295"/>
      <c r="BM9" s="295"/>
      <c r="BN9" s="295"/>
      <c r="BO9" s="295"/>
      <c r="BP9" s="295"/>
      <c r="BQ9" s="295"/>
      <c r="BR9" s="295"/>
      <c r="BS9" s="295"/>
      <c r="BT9" s="295"/>
      <c r="BU9" s="295"/>
      <c r="BV9" s="295"/>
      <c r="BW9" s="295"/>
      <c r="BX9" s="295"/>
      <c r="BY9" s="295"/>
      <c r="BZ9" s="295"/>
      <c r="CA9" s="295"/>
      <c r="CB9" s="295"/>
      <c r="CC9" s="295"/>
      <c r="CD9" s="295"/>
      <c r="CE9" s="295"/>
      <c r="CF9" s="295"/>
      <c r="CG9" s="295"/>
      <c r="CH9" s="295"/>
      <c r="CI9" s="295"/>
      <c r="CJ9" s="295"/>
      <c r="CK9" s="295"/>
      <c r="CL9" s="295"/>
      <c r="CM9" s="295"/>
      <c r="CN9" s="295"/>
      <c r="CO9" s="295"/>
      <c r="CP9" s="295"/>
      <c r="CQ9" s="295"/>
      <c r="CR9" s="295"/>
      <c r="CS9" s="295"/>
      <c r="CT9" s="295"/>
      <c r="CU9" s="295"/>
      <c r="CV9" s="295"/>
      <c r="CW9" s="295"/>
      <c r="CX9" s="295"/>
      <c r="CY9" s="295"/>
      <c r="CZ9" s="295"/>
      <c r="DA9" s="295"/>
      <c r="DB9" s="295"/>
      <c r="DC9" s="295"/>
      <c r="DD9" s="295"/>
      <c r="DE9" s="295"/>
      <c r="DF9" s="295"/>
      <c r="DG9" s="295"/>
      <c r="DH9" s="295"/>
      <c r="DI9" s="295"/>
      <c r="DJ9" s="295"/>
      <c r="DK9" s="295"/>
      <c r="DL9" s="295"/>
      <c r="DM9" s="295"/>
      <c r="DN9" s="295"/>
      <c r="DO9" s="295"/>
      <c r="DP9" s="295"/>
      <c r="DQ9" s="295"/>
      <c r="DR9" s="295"/>
      <c r="DS9" s="295"/>
      <c r="DT9" s="295"/>
      <c r="DU9" s="295"/>
      <c r="DV9" s="295"/>
      <c r="DW9" s="295"/>
      <c r="DX9" s="295"/>
      <c r="DY9" s="295"/>
      <c r="DZ9" s="295"/>
      <c r="EA9" s="295"/>
      <c r="EB9" s="295"/>
      <c r="EC9" s="295"/>
      <c r="ED9" s="295"/>
      <c r="EE9" s="295"/>
      <c r="EF9" s="295"/>
      <c r="EG9" s="295"/>
      <c r="EH9" s="295"/>
      <c r="EI9" s="295"/>
      <c r="EJ9" s="295"/>
      <c r="EK9" s="295"/>
      <c r="EL9" s="295"/>
      <c r="EM9" s="295"/>
      <c r="EN9" s="295"/>
      <c r="EO9" s="295"/>
      <c r="EP9" s="295"/>
      <c r="EQ9" s="295"/>
      <c r="ER9" s="295"/>
      <c r="ES9" s="295"/>
      <c r="ET9" s="295"/>
      <c r="EU9" s="295"/>
      <c r="EV9" s="295"/>
      <c r="EW9" s="295"/>
      <c r="EX9" s="295"/>
      <c r="EY9" s="295"/>
      <c r="EZ9" s="295"/>
      <c r="FA9" s="295"/>
      <c r="FB9" s="295"/>
      <c r="FC9" s="295"/>
      <c r="FD9" s="295"/>
      <c r="FE9" s="295"/>
      <c r="FF9" s="295"/>
      <c r="FG9" s="295"/>
      <c r="FH9" s="295"/>
      <c r="FI9" s="295"/>
      <c r="FJ9" s="295"/>
      <c r="FK9" s="295"/>
      <c r="FL9" s="295"/>
      <c r="FM9" s="295"/>
      <c r="FN9" s="295"/>
      <c r="FO9" s="295"/>
      <c r="FP9" s="295"/>
      <c r="FQ9" s="295"/>
      <c r="FR9" s="295"/>
      <c r="FS9" s="295"/>
      <c r="FT9" s="295"/>
      <c r="FU9" s="295"/>
      <c r="FV9" s="295"/>
      <c r="FW9" s="295"/>
      <c r="FX9" s="295"/>
      <c r="FY9" s="295"/>
      <c r="FZ9" s="295"/>
      <c r="GA9" s="295"/>
      <c r="GB9" s="295"/>
      <c r="GC9" s="295"/>
      <c r="GD9" s="295"/>
      <c r="GE9" s="295"/>
      <c r="GF9" s="295"/>
      <c r="GG9" s="295"/>
      <c r="GH9" s="295"/>
      <c r="GI9" s="295"/>
      <c r="GJ9" s="295"/>
      <c r="GK9" s="295"/>
      <c r="GL9" s="295"/>
      <c r="GM9" s="295"/>
      <c r="GN9" s="295"/>
      <c r="GO9" s="295"/>
      <c r="GP9" s="295"/>
      <c r="GQ9" s="295"/>
      <c r="GR9" s="295"/>
      <c r="GS9" s="295"/>
      <c r="GT9" s="295"/>
      <c r="GU9" s="295"/>
      <c r="GV9" s="295"/>
      <c r="GW9" s="295"/>
      <c r="GX9" s="295"/>
      <c r="GY9" s="295"/>
      <c r="GZ9" s="295"/>
      <c r="HA9" s="295"/>
      <c r="HB9" s="295"/>
      <c r="HC9" s="295"/>
      <c r="HD9" s="295"/>
      <c r="HE9" s="295"/>
      <c r="HF9" s="295"/>
      <c r="HG9" s="295"/>
      <c r="HH9" s="295"/>
      <c r="HI9" s="295"/>
      <c r="HJ9" s="295"/>
      <c r="HK9" s="295"/>
      <c r="HL9" s="295"/>
      <c r="HM9" s="295"/>
      <c r="HN9" s="295"/>
      <c r="HO9" s="295"/>
      <c r="HP9" s="295"/>
      <c r="HQ9" s="295"/>
      <c r="HR9" s="295"/>
      <c r="HS9" s="295"/>
      <c r="HT9" s="295"/>
      <c r="HU9" s="295"/>
      <c r="HV9" s="295"/>
      <c r="HW9" s="295"/>
      <c r="HX9" s="295"/>
      <c r="HY9" s="295"/>
      <c r="HZ9" s="295"/>
      <c r="IA9" s="295"/>
      <c r="IB9" s="295"/>
      <c r="IC9" s="295"/>
      <c r="ID9" s="295"/>
      <c r="IE9" s="295"/>
      <c r="IF9" s="295"/>
      <c r="IG9" s="295"/>
      <c r="IH9" s="295"/>
      <c r="II9" s="295"/>
      <c r="IJ9" s="295"/>
      <c r="IK9" s="295"/>
      <c r="IL9" s="295"/>
      <c r="IM9" s="295"/>
      <c r="IN9" s="295"/>
      <c r="IO9" s="295"/>
      <c r="IP9" s="295"/>
      <c r="IQ9" s="295"/>
      <c r="IR9" s="295"/>
      <c r="IS9" s="295"/>
      <c r="IT9" s="295"/>
      <c r="IU9" s="295"/>
      <c r="IV9" s="295"/>
      <c r="IW9" s="295"/>
      <c r="IX9" s="295"/>
      <c r="IY9" s="295"/>
      <c r="IZ9" s="295"/>
      <c r="JA9" s="295"/>
      <c r="JB9" s="295"/>
      <c r="JC9" s="295"/>
      <c r="JD9" s="295"/>
      <c r="JE9" s="295"/>
      <c r="JF9" s="295"/>
      <c r="JG9" s="295"/>
      <c r="JH9" s="295"/>
      <c r="JI9" s="295"/>
      <c r="JJ9" s="295"/>
      <c r="JK9" s="295"/>
      <c r="JL9" s="295"/>
      <c r="JM9" s="295"/>
      <c r="JN9" s="295"/>
      <c r="JO9" s="295"/>
      <c r="JP9" s="295"/>
      <c r="JQ9" s="295"/>
      <c r="JR9" s="295"/>
      <c r="JS9" s="295"/>
      <c r="JT9" s="295"/>
      <c r="JU9" s="295"/>
      <c r="JV9" s="295"/>
      <c r="JW9" s="295"/>
      <c r="JX9" s="295"/>
      <c r="JY9" s="295"/>
      <c r="JZ9" s="295"/>
      <c r="KA9" s="295"/>
      <c r="KB9" s="295"/>
      <c r="KC9" s="295"/>
      <c r="KD9" s="295"/>
      <c r="KE9" s="295"/>
      <c r="KF9" s="295"/>
      <c r="KG9" s="295"/>
      <c r="KH9" s="295"/>
      <c r="KI9" s="295"/>
      <c r="KJ9" s="295"/>
      <c r="KK9" s="295"/>
      <c r="KL9" s="295"/>
      <c r="KM9" s="295"/>
      <c r="KN9" s="295"/>
      <c r="KO9" s="295"/>
      <c r="KP9" s="295"/>
      <c r="KQ9" s="295"/>
      <c r="KR9" s="295"/>
      <c r="KS9" s="295"/>
      <c r="KT9" s="295"/>
      <c r="KU9" s="295"/>
      <c r="KV9" s="295"/>
      <c r="KW9" s="295"/>
      <c r="KX9" s="295"/>
      <c r="KY9" s="295"/>
      <c r="KZ9" s="295"/>
      <c r="LA9" s="295"/>
      <c r="LB9" s="295"/>
      <c r="LC9" s="295"/>
      <c r="LD9" s="295"/>
      <c r="LE9" s="295"/>
      <c r="LF9" s="295"/>
      <c r="LG9" s="295"/>
      <c r="LH9" s="295"/>
      <c r="LI9" s="295"/>
      <c r="LJ9" s="295"/>
      <c r="LK9" s="295"/>
      <c r="LL9" s="295"/>
      <c r="LM9" s="295"/>
      <c r="LN9" s="295"/>
      <c r="LO9" s="295"/>
      <c r="LP9" s="295"/>
      <c r="LQ9" s="295"/>
      <c r="LR9" s="295"/>
      <c r="LS9" s="295"/>
      <c r="LT9" s="295"/>
      <c r="LU9" s="295"/>
      <c r="LV9" s="295"/>
      <c r="LW9" s="295"/>
      <c r="LX9" s="295"/>
      <c r="LY9" s="295"/>
      <c r="LZ9" s="295"/>
      <c r="MA9" s="295"/>
      <c r="MB9" s="295"/>
      <c r="MC9" s="295"/>
      <c r="MD9" s="295"/>
      <c r="ME9" s="295"/>
      <c r="MF9" s="295"/>
      <c r="MG9" s="295"/>
      <c r="MH9" s="295"/>
    </row>
    <row r="10" spans="1:346" s="18" customFormat="1" x14ac:dyDescent="0.2">
      <c r="A10" s="295"/>
      <c r="B10" s="8" t="s">
        <v>878</v>
      </c>
      <c r="C10" s="10" t="str">
        <f t="shared" si="25"/>
        <v>23</v>
      </c>
      <c r="D10" s="9" t="str">
        <f t="shared" si="25"/>
        <v>+03,15</v>
      </c>
      <c r="E10" s="10" t="s">
        <v>887</v>
      </c>
      <c r="F10" s="9" t="s">
        <v>888</v>
      </c>
      <c r="G10" s="302">
        <v>31.82</v>
      </c>
      <c r="H10" s="303">
        <f t="shared" si="26"/>
        <v>1.9</v>
      </c>
      <c r="I10" s="303">
        <v>1.9</v>
      </c>
      <c r="J10" s="13">
        <f t="shared" si="0"/>
        <v>1.9</v>
      </c>
      <c r="K10" s="14">
        <v>710</v>
      </c>
      <c r="L10" s="15">
        <f t="shared" si="14"/>
        <v>31.82</v>
      </c>
      <c r="M10" s="16">
        <v>1.3</v>
      </c>
      <c r="N10" s="14" t="s">
        <v>134</v>
      </c>
      <c r="O10" s="17">
        <v>0</v>
      </c>
      <c r="P10" s="13">
        <f t="shared" si="1"/>
        <v>0</v>
      </c>
      <c r="Q10" s="13">
        <f t="shared" si="2"/>
        <v>0</v>
      </c>
      <c r="R10" s="13">
        <f t="shared" si="3"/>
        <v>0</v>
      </c>
      <c r="S10" s="13">
        <f t="shared" si="4"/>
        <v>0</v>
      </c>
      <c r="T10" s="13">
        <f t="shared" si="5"/>
        <v>82.525170000000003</v>
      </c>
      <c r="U10" s="13">
        <f t="shared" si="15"/>
        <v>4.1262585000000005</v>
      </c>
      <c r="V10" s="13">
        <f t="shared" si="16"/>
        <v>78.398911499999997</v>
      </c>
      <c r="W10" s="13">
        <f t="shared" si="17"/>
        <v>0</v>
      </c>
      <c r="X10" s="13">
        <f t="shared" si="18"/>
        <v>0</v>
      </c>
      <c r="Y10" s="13">
        <f t="shared" si="6"/>
        <v>2.0631292500000002</v>
      </c>
      <c r="Z10" s="13">
        <f t="shared" si="7"/>
        <v>2.0631292500000002</v>
      </c>
      <c r="AA10" s="13">
        <f t="shared" si="8"/>
        <v>0</v>
      </c>
      <c r="AB10" s="13">
        <f t="shared" si="19"/>
        <v>0</v>
      </c>
      <c r="AC10" s="13">
        <f t="shared" si="20"/>
        <v>0</v>
      </c>
      <c r="AD10" s="13">
        <f t="shared" si="21"/>
        <v>36.847488405</v>
      </c>
      <c r="AE10" s="13">
        <f t="shared" si="22"/>
        <v>39.199455749999998</v>
      </c>
      <c r="AF10" s="13">
        <f t="shared" si="23"/>
        <v>0</v>
      </c>
      <c r="AG10" s="13">
        <f t="shared" si="24"/>
        <v>0</v>
      </c>
      <c r="AH10" s="13">
        <f t="shared" si="9"/>
        <v>2.3519673449999998</v>
      </c>
      <c r="AI10" s="13">
        <f t="shared" si="10"/>
        <v>41.366</v>
      </c>
      <c r="AJ10" s="13">
        <f t="shared" si="11"/>
        <v>82.525170000000003</v>
      </c>
      <c r="AK10" s="13">
        <f t="shared" si="12"/>
        <v>120.916</v>
      </c>
      <c r="AL10" s="13">
        <f t="shared" si="13"/>
        <v>0</v>
      </c>
      <c r="AM10" s="295"/>
      <c r="AN10" s="295"/>
      <c r="AO10" s="295"/>
      <c r="AP10" s="295"/>
      <c r="AQ10" s="295"/>
      <c r="AR10" s="295"/>
      <c r="AS10" s="295"/>
      <c r="AT10" s="295"/>
      <c r="AU10" s="295"/>
      <c r="AV10" s="295"/>
      <c r="AW10" s="295"/>
      <c r="AX10" s="295"/>
      <c r="AY10" s="295"/>
      <c r="AZ10" s="295"/>
      <c r="BA10" s="295"/>
      <c r="BB10" s="295"/>
      <c r="BC10" s="295"/>
      <c r="BD10" s="295"/>
      <c r="BE10" s="295"/>
      <c r="BF10" s="295"/>
      <c r="BG10" s="295"/>
      <c r="BH10" s="295"/>
      <c r="BI10" s="295"/>
      <c r="BJ10" s="295"/>
      <c r="BK10" s="295"/>
      <c r="BL10" s="295"/>
      <c r="BM10" s="295"/>
      <c r="BN10" s="295"/>
      <c r="BO10" s="295"/>
      <c r="BP10" s="295"/>
      <c r="BQ10" s="295"/>
      <c r="BR10" s="295"/>
      <c r="BS10" s="295"/>
      <c r="BT10" s="295"/>
      <c r="BU10" s="295"/>
      <c r="BV10" s="295"/>
      <c r="BW10" s="295"/>
      <c r="BX10" s="295"/>
      <c r="BY10" s="295"/>
      <c r="BZ10" s="295"/>
      <c r="CA10" s="295"/>
      <c r="CB10" s="295"/>
      <c r="CC10" s="295"/>
      <c r="CD10" s="295"/>
      <c r="CE10" s="295"/>
      <c r="CF10" s="295"/>
      <c r="CG10" s="295"/>
      <c r="CH10" s="295"/>
      <c r="CI10" s="295"/>
      <c r="CJ10" s="295"/>
      <c r="CK10" s="295"/>
      <c r="CL10" s="295"/>
      <c r="CM10" s="295"/>
      <c r="CN10" s="295"/>
      <c r="CO10" s="295"/>
      <c r="CP10" s="295"/>
      <c r="CQ10" s="295"/>
      <c r="CR10" s="295"/>
      <c r="CS10" s="295"/>
      <c r="CT10" s="295"/>
      <c r="CU10" s="295"/>
      <c r="CV10" s="295"/>
      <c r="CW10" s="295"/>
      <c r="CX10" s="295"/>
      <c r="CY10" s="295"/>
      <c r="CZ10" s="295"/>
      <c r="DA10" s="295"/>
      <c r="DB10" s="295"/>
      <c r="DC10" s="295"/>
      <c r="DD10" s="295"/>
      <c r="DE10" s="295"/>
      <c r="DF10" s="295"/>
      <c r="DG10" s="295"/>
      <c r="DH10" s="295"/>
      <c r="DI10" s="295"/>
      <c r="DJ10" s="295"/>
      <c r="DK10" s="295"/>
      <c r="DL10" s="295"/>
      <c r="DM10" s="295"/>
      <c r="DN10" s="295"/>
      <c r="DO10" s="295"/>
      <c r="DP10" s="295"/>
      <c r="DQ10" s="295"/>
      <c r="DR10" s="295"/>
      <c r="DS10" s="295"/>
      <c r="DT10" s="295"/>
      <c r="DU10" s="295"/>
      <c r="DV10" s="295"/>
      <c r="DW10" s="295"/>
      <c r="DX10" s="295"/>
      <c r="DY10" s="295"/>
      <c r="DZ10" s="295"/>
      <c r="EA10" s="295"/>
      <c r="EB10" s="295"/>
      <c r="EC10" s="295"/>
      <c r="ED10" s="295"/>
      <c r="EE10" s="295"/>
      <c r="EF10" s="295"/>
      <c r="EG10" s="295"/>
      <c r="EH10" s="295"/>
      <c r="EI10" s="295"/>
      <c r="EJ10" s="295"/>
      <c r="EK10" s="295"/>
      <c r="EL10" s="295"/>
      <c r="EM10" s="295"/>
      <c r="EN10" s="295"/>
      <c r="EO10" s="295"/>
      <c r="EP10" s="295"/>
      <c r="EQ10" s="295"/>
      <c r="ER10" s="295"/>
      <c r="ES10" s="295"/>
      <c r="ET10" s="295"/>
      <c r="EU10" s="295"/>
      <c r="EV10" s="295"/>
      <c r="EW10" s="295"/>
      <c r="EX10" s="295"/>
      <c r="EY10" s="295"/>
      <c r="EZ10" s="295"/>
      <c r="FA10" s="295"/>
      <c r="FB10" s="295"/>
      <c r="FC10" s="295"/>
      <c r="FD10" s="295"/>
      <c r="FE10" s="295"/>
      <c r="FF10" s="295"/>
      <c r="FG10" s="295"/>
      <c r="FH10" s="295"/>
      <c r="FI10" s="295"/>
      <c r="FJ10" s="295"/>
      <c r="FK10" s="295"/>
      <c r="FL10" s="295"/>
      <c r="FM10" s="295"/>
      <c r="FN10" s="295"/>
      <c r="FO10" s="295"/>
      <c r="FP10" s="295"/>
      <c r="FQ10" s="295"/>
      <c r="FR10" s="295"/>
      <c r="FS10" s="295"/>
      <c r="FT10" s="295"/>
      <c r="FU10" s="295"/>
      <c r="FV10" s="295"/>
      <c r="FW10" s="295"/>
      <c r="FX10" s="295"/>
      <c r="FY10" s="295"/>
      <c r="FZ10" s="295"/>
      <c r="GA10" s="295"/>
      <c r="GB10" s="295"/>
      <c r="GC10" s="295"/>
      <c r="GD10" s="295"/>
      <c r="GE10" s="295"/>
      <c r="GF10" s="295"/>
      <c r="GG10" s="295"/>
      <c r="GH10" s="295"/>
      <c r="GI10" s="295"/>
      <c r="GJ10" s="295"/>
      <c r="GK10" s="295"/>
      <c r="GL10" s="295"/>
      <c r="GM10" s="295"/>
      <c r="GN10" s="295"/>
      <c r="GO10" s="295"/>
      <c r="GP10" s="295"/>
      <c r="GQ10" s="295"/>
      <c r="GR10" s="295"/>
      <c r="GS10" s="295"/>
      <c r="GT10" s="295"/>
      <c r="GU10" s="295"/>
      <c r="GV10" s="295"/>
      <c r="GW10" s="295"/>
      <c r="GX10" s="295"/>
      <c r="GY10" s="295"/>
      <c r="GZ10" s="295"/>
      <c r="HA10" s="295"/>
      <c r="HB10" s="295"/>
      <c r="HC10" s="295"/>
      <c r="HD10" s="295"/>
      <c r="HE10" s="295"/>
      <c r="HF10" s="295"/>
      <c r="HG10" s="295"/>
      <c r="HH10" s="295"/>
      <c r="HI10" s="295"/>
      <c r="HJ10" s="295"/>
      <c r="HK10" s="295"/>
      <c r="HL10" s="295"/>
      <c r="HM10" s="295"/>
      <c r="HN10" s="295"/>
      <c r="HO10" s="295"/>
      <c r="HP10" s="295"/>
      <c r="HQ10" s="295"/>
      <c r="HR10" s="295"/>
      <c r="HS10" s="295"/>
      <c r="HT10" s="295"/>
      <c r="HU10" s="295"/>
      <c r="HV10" s="295"/>
      <c r="HW10" s="295"/>
      <c r="HX10" s="295"/>
      <c r="HY10" s="295"/>
      <c r="HZ10" s="295"/>
      <c r="IA10" s="295"/>
      <c r="IB10" s="295"/>
      <c r="IC10" s="295"/>
      <c r="ID10" s="295"/>
      <c r="IE10" s="295"/>
      <c r="IF10" s="295"/>
      <c r="IG10" s="295"/>
      <c r="IH10" s="295"/>
      <c r="II10" s="295"/>
      <c r="IJ10" s="295"/>
      <c r="IK10" s="295"/>
      <c r="IL10" s="295"/>
      <c r="IM10" s="295"/>
      <c r="IN10" s="295"/>
      <c r="IO10" s="295"/>
      <c r="IP10" s="295"/>
      <c r="IQ10" s="295"/>
      <c r="IR10" s="295"/>
      <c r="IS10" s="295"/>
      <c r="IT10" s="295"/>
      <c r="IU10" s="295"/>
      <c r="IV10" s="295"/>
      <c r="IW10" s="295"/>
      <c r="IX10" s="295"/>
      <c r="IY10" s="295"/>
      <c r="IZ10" s="295"/>
      <c r="JA10" s="295"/>
      <c r="JB10" s="295"/>
      <c r="JC10" s="295"/>
      <c r="JD10" s="295"/>
      <c r="JE10" s="295"/>
      <c r="JF10" s="295"/>
      <c r="JG10" s="295"/>
      <c r="JH10" s="295"/>
      <c r="JI10" s="295"/>
      <c r="JJ10" s="295"/>
      <c r="JK10" s="295"/>
      <c r="JL10" s="295"/>
      <c r="JM10" s="295"/>
      <c r="JN10" s="295"/>
      <c r="JO10" s="295"/>
      <c r="JP10" s="295"/>
      <c r="JQ10" s="295"/>
      <c r="JR10" s="295"/>
      <c r="JS10" s="295"/>
      <c r="JT10" s="295"/>
      <c r="JU10" s="295"/>
      <c r="JV10" s="295"/>
      <c r="JW10" s="295"/>
      <c r="JX10" s="295"/>
      <c r="JY10" s="295"/>
      <c r="JZ10" s="295"/>
      <c r="KA10" s="295"/>
      <c r="KB10" s="295"/>
      <c r="KC10" s="295"/>
      <c r="KD10" s="295"/>
      <c r="KE10" s="295"/>
      <c r="KF10" s="295"/>
      <c r="KG10" s="295"/>
      <c r="KH10" s="295"/>
      <c r="KI10" s="295"/>
      <c r="KJ10" s="295"/>
      <c r="KK10" s="295"/>
      <c r="KL10" s="295"/>
      <c r="KM10" s="295"/>
      <c r="KN10" s="295"/>
      <c r="KO10" s="295"/>
      <c r="KP10" s="295"/>
      <c r="KQ10" s="295"/>
      <c r="KR10" s="295"/>
      <c r="KS10" s="295"/>
      <c r="KT10" s="295"/>
      <c r="KU10" s="295"/>
      <c r="KV10" s="295"/>
      <c r="KW10" s="295"/>
      <c r="KX10" s="295"/>
      <c r="KY10" s="295"/>
      <c r="KZ10" s="295"/>
      <c r="LA10" s="295"/>
      <c r="LB10" s="295"/>
      <c r="LC10" s="295"/>
      <c r="LD10" s="295"/>
      <c r="LE10" s="295"/>
      <c r="LF10" s="295"/>
      <c r="LG10" s="295"/>
      <c r="LH10" s="295"/>
      <c r="LI10" s="295"/>
      <c r="LJ10" s="295"/>
      <c r="LK10" s="295"/>
      <c r="LL10" s="295"/>
      <c r="LM10" s="295"/>
      <c r="LN10" s="295"/>
      <c r="LO10" s="295"/>
      <c r="LP10" s="295"/>
      <c r="LQ10" s="295"/>
      <c r="LR10" s="295"/>
      <c r="LS10" s="295"/>
      <c r="LT10" s="295"/>
      <c r="LU10" s="295"/>
      <c r="LV10" s="295"/>
      <c r="LW10" s="295"/>
      <c r="LX10" s="295"/>
      <c r="LY10" s="295"/>
      <c r="LZ10" s="295"/>
      <c r="MA10" s="295"/>
      <c r="MB10" s="295"/>
      <c r="MC10" s="295"/>
      <c r="MD10" s="295"/>
      <c r="ME10" s="295"/>
      <c r="MF10" s="295"/>
      <c r="MG10" s="295"/>
      <c r="MH10" s="295"/>
    </row>
    <row r="11" spans="1:346" s="18" customFormat="1" x14ac:dyDescent="0.2">
      <c r="A11" s="295"/>
      <c r="B11" s="8" t="s">
        <v>878</v>
      </c>
      <c r="C11" s="10" t="str">
        <f t="shared" si="25"/>
        <v>24</v>
      </c>
      <c r="D11" s="9" t="str">
        <f t="shared" si="25"/>
        <v>+14,97</v>
      </c>
      <c r="E11" s="10" t="s">
        <v>889</v>
      </c>
      <c r="F11" s="9" t="s">
        <v>890</v>
      </c>
      <c r="G11" s="302">
        <v>26.85</v>
      </c>
      <c r="H11" s="303">
        <f t="shared" si="26"/>
        <v>1.9</v>
      </c>
      <c r="I11" s="303">
        <v>1.96</v>
      </c>
      <c r="J11" s="13">
        <f t="shared" si="0"/>
        <v>1.93</v>
      </c>
      <c r="K11" s="14">
        <v>710</v>
      </c>
      <c r="L11" s="15">
        <f t="shared" si="14"/>
        <v>26.85</v>
      </c>
      <c r="M11" s="16">
        <v>1.3</v>
      </c>
      <c r="N11" s="14" t="s">
        <v>134</v>
      </c>
      <c r="O11" s="17">
        <f t="shared" si="27"/>
        <v>161.10000000000002</v>
      </c>
      <c r="P11" s="13">
        <f t="shared" si="1"/>
        <v>0</v>
      </c>
      <c r="Q11" s="13">
        <f t="shared" si="2"/>
        <v>0</v>
      </c>
      <c r="R11" s="13">
        <f t="shared" si="3"/>
        <v>0</v>
      </c>
      <c r="S11" s="13">
        <f t="shared" si="4"/>
        <v>0</v>
      </c>
      <c r="T11" s="13">
        <f t="shared" si="5"/>
        <v>70.734982500000015</v>
      </c>
      <c r="U11" s="13">
        <f t="shared" si="15"/>
        <v>3.5367491250000009</v>
      </c>
      <c r="V11" s="13">
        <f t="shared" si="16"/>
        <v>67.198233375000015</v>
      </c>
      <c r="W11" s="13">
        <f t="shared" si="17"/>
        <v>0</v>
      </c>
      <c r="X11" s="13">
        <f t="shared" si="18"/>
        <v>0</v>
      </c>
      <c r="Y11" s="13">
        <f t="shared" si="6"/>
        <v>1.7683745625000005</v>
      </c>
      <c r="Z11" s="13">
        <f t="shared" si="7"/>
        <v>1.7683745625000005</v>
      </c>
      <c r="AA11" s="13">
        <f t="shared" si="8"/>
        <v>0</v>
      </c>
      <c r="AB11" s="13">
        <f t="shared" si="19"/>
        <v>0</v>
      </c>
      <c r="AC11" s="13">
        <f t="shared" si="20"/>
        <v>0</v>
      </c>
      <c r="AD11" s="13">
        <f t="shared" si="21"/>
        <v>31.583169686250006</v>
      </c>
      <c r="AE11" s="13">
        <f t="shared" si="22"/>
        <v>33.599116687500008</v>
      </c>
      <c r="AF11" s="13">
        <f t="shared" si="23"/>
        <v>0</v>
      </c>
      <c r="AG11" s="13">
        <f t="shared" si="24"/>
        <v>0</v>
      </c>
      <c r="AH11" s="13">
        <f t="shared" si="9"/>
        <v>2.0159470012500003</v>
      </c>
      <c r="AI11" s="13">
        <f t="shared" si="10"/>
        <v>34.905000000000001</v>
      </c>
      <c r="AJ11" s="13">
        <f t="shared" si="11"/>
        <v>70.734982500000015</v>
      </c>
      <c r="AK11" s="13">
        <f t="shared" si="12"/>
        <v>103.64100000000001</v>
      </c>
      <c r="AL11" s="13">
        <f t="shared" si="13"/>
        <v>0</v>
      </c>
      <c r="AM11" s="295"/>
      <c r="AN11" s="295"/>
      <c r="AO11" s="295"/>
      <c r="AP11" s="295"/>
      <c r="AQ11" s="295"/>
      <c r="AR11" s="295"/>
      <c r="AS11" s="295"/>
      <c r="AT11" s="295"/>
      <c r="AU11" s="295"/>
      <c r="AV11" s="295"/>
      <c r="AW11" s="295"/>
      <c r="AX11" s="295"/>
      <c r="AY11" s="295"/>
      <c r="AZ11" s="295"/>
      <c r="BA11" s="295"/>
      <c r="BB11" s="295"/>
      <c r="BC11" s="295"/>
      <c r="BD11" s="295"/>
      <c r="BE11" s="295"/>
      <c r="BF11" s="295"/>
      <c r="BG11" s="295"/>
      <c r="BH11" s="295"/>
      <c r="BI11" s="295"/>
      <c r="BJ11" s="295"/>
      <c r="BK11" s="295"/>
      <c r="BL11" s="295"/>
      <c r="BM11" s="295"/>
      <c r="BN11" s="295"/>
      <c r="BO11" s="295"/>
      <c r="BP11" s="295"/>
      <c r="BQ11" s="295"/>
      <c r="BR11" s="295"/>
      <c r="BS11" s="295"/>
      <c r="BT11" s="295"/>
      <c r="BU11" s="295"/>
      <c r="BV11" s="295"/>
      <c r="BW11" s="295"/>
      <c r="BX11" s="295"/>
      <c r="BY11" s="295"/>
      <c r="BZ11" s="295"/>
      <c r="CA11" s="295"/>
      <c r="CB11" s="295"/>
      <c r="CC11" s="295"/>
      <c r="CD11" s="295"/>
      <c r="CE11" s="295"/>
      <c r="CF11" s="295"/>
      <c r="CG11" s="295"/>
      <c r="CH11" s="295"/>
      <c r="CI11" s="295"/>
      <c r="CJ11" s="295"/>
      <c r="CK11" s="295"/>
      <c r="CL11" s="295"/>
      <c r="CM11" s="295"/>
      <c r="CN11" s="295"/>
      <c r="CO11" s="295"/>
      <c r="CP11" s="295"/>
      <c r="CQ11" s="295"/>
      <c r="CR11" s="295"/>
      <c r="CS11" s="295"/>
      <c r="CT11" s="295"/>
      <c r="CU11" s="295"/>
      <c r="CV11" s="295"/>
      <c r="CW11" s="295"/>
      <c r="CX11" s="295"/>
      <c r="CY11" s="295"/>
      <c r="CZ11" s="295"/>
      <c r="DA11" s="295"/>
      <c r="DB11" s="295"/>
      <c r="DC11" s="295"/>
      <c r="DD11" s="295"/>
      <c r="DE11" s="295"/>
      <c r="DF11" s="295"/>
      <c r="DG11" s="295"/>
      <c r="DH11" s="295"/>
      <c r="DI11" s="295"/>
      <c r="DJ11" s="295"/>
      <c r="DK11" s="295"/>
      <c r="DL11" s="295"/>
      <c r="DM11" s="295"/>
      <c r="DN11" s="295"/>
      <c r="DO11" s="295"/>
      <c r="DP11" s="295"/>
      <c r="DQ11" s="295"/>
      <c r="DR11" s="295"/>
      <c r="DS11" s="295"/>
      <c r="DT11" s="295"/>
      <c r="DU11" s="295"/>
      <c r="DV11" s="295"/>
      <c r="DW11" s="295"/>
      <c r="DX11" s="295"/>
      <c r="DY11" s="295"/>
      <c r="DZ11" s="295"/>
      <c r="EA11" s="295"/>
      <c r="EB11" s="295"/>
      <c r="EC11" s="295"/>
      <c r="ED11" s="295"/>
      <c r="EE11" s="295"/>
      <c r="EF11" s="295"/>
      <c r="EG11" s="295"/>
      <c r="EH11" s="295"/>
      <c r="EI11" s="295"/>
      <c r="EJ11" s="295"/>
      <c r="EK11" s="295"/>
      <c r="EL11" s="295"/>
      <c r="EM11" s="295"/>
      <c r="EN11" s="295"/>
      <c r="EO11" s="295"/>
      <c r="EP11" s="295"/>
      <c r="EQ11" s="295"/>
      <c r="ER11" s="295"/>
      <c r="ES11" s="295"/>
      <c r="ET11" s="295"/>
      <c r="EU11" s="295"/>
      <c r="EV11" s="295"/>
      <c r="EW11" s="295"/>
      <c r="EX11" s="295"/>
      <c r="EY11" s="295"/>
      <c r="EZ11" s="295"/>
      <c r="FA11" s="295"/>
      <c r="FB11" s="295"/>
      <c r="FC11" s="295"/>
      <c r="FD11" s="295"/>
      <c r="FE11" s="295"/>
      <c r="FF11" s="295"/>
      <c r="FG11" s="295"/>
      <c r="FH11" s="295"/>
      <c r="FI11" s="295"/>
      <c r="FJ11" s="295"/>
      <c r="FK11" s="295"/>
      <c r="FL11" s="295"/>
      <c r="FM11" s="295"/>
      <c r="FN11" s="295"/>
      <c r="FO11" s="295"/>
      <c r="FP11" s="295"/>
      <c r="FQ11" s="295"/>
      <c r="FR11" s="295"/>
      <c r="FS11" s="295"/>
      <c r="FT11" s="295"/>
      <c r="FU11" s="295"/>
      <c r="FV11" s="295"/>
      <c r="FW11" s="295"/>
      <c r="FX11" s="295"/>
      <c r="FY11" s="295"/>
      <c r="FZ11" s="295"/>
      <c r="GA11" s="295"/>
      <c r="GB11" s="295"/>
      <c r="GC11" s="295"/>
      <c r="GD11" s="295"/>
      <c r="GE11" s="295"/>
      <c r="GF11" s="295"/>
      <c r="GG11" s="295"/>
      <c r="GH11" s="295"/>
      <c r="GI11" s="295"/>
      <c r="GJ11" s="295"/>
      <c r="GK11" s="295"/>
      <c r="GL11" s="295"/>
      <c r="GM11" s="295"/>
      <c r="GN11" s="295"/>
      <c r="GO11" s="295"/>
      <c r="GP11" s="295"/>
      <c r="GQ11" s="295"/>
      <c r="GR11" s="295"/>
      <c r="GS11" s="295"/>
      <c r="GT11" s="295"/>
      <c r="GU11" s="295"/>
      <c r="GV11" s="295"/>
      <c r="GW11" s="295"/>
      <c r="GX11" s="295"/>
      <c r="GY11" s="295"/>
      <c r="GZ11" s="295"/>
      <c r="HA11" s="295"/>
      <c r="HB11" s="295"/>
      <c r="HC11" s="295"/>
      <c r="HD11" s="295"/>
      <c r="HE11" s="295"/>
      <c r="HF11" s="295"/>
      <c r="HG11" s="295"/>
      <c r="HH11" s="295"/>
      <c r="HI11" s="295"/>
      <c r="HJ11" s="295"/>
      <c r="HK11" s="295"/>
      <c r="HL11" s="295"/>
      <c r="HM11" s="295"/>
      <c r="HN11" s="295"/>
      <c r="HO11" s="295"/>
      <c r="HP11" s="295"/>
      <c r="HQ11" s="295"/>
      <c r="HR11" s="295"/>
      <c r="HS11" s="295"/>
      <c r="HT11" s="295"/>
      <c r="HU11" s="295"/>
      <c r="HV11" s="295"/>
      <c r="HW11" s="295"/>
      <c r="HX11" s="295"/>
      <c r="HY11" s="295"/>
      <c r="HZ11" s="295"/>
      <c r="IA11" s="295"/>
      <c r="IB11" s="295"/>
      <c r="IC11" s="295"/>
      <c r="ID11" s="295"/>
      <c r="IE11" s="295"/>
      <c r="IF11" s="295"/>
      <c r="IG11" s="295"/>
      <c r="IH11" s="295"/>
      <c r="II11" s="295"/>
      <c r="IJ11" s="295"/>
      <c r="IK11" s="295"/>
      <c r="IL11" s="295"/>
      <c r="IM11" s="295"/>
      <c r="IN11" s="295"/>
      <c r="IO11" s="295"/>
      <c r="IP11" s="295"/>
      <c r="IQ11" s="295"/>
      <c r="IR11" s="295"/>
      <c r="IS11" s="295"/>
      <c r="IT11" s="295"/>
      <c r="IU11" s="295"/>
      <c r="IV11" s="295"/>
      <c r="IW11" s="295"/>
      <c r="IX11" s="295"/>
      <c r="IY11" s="295"/>
      <c r="IZ11" s="295"/>
      <c r="JA11" s="295"/>
      <c r="JB11" s="295"/>
      <c r="JC11" s="295"/>
      <c r="JD11" s="295"/>
      <c r="JE11" s="295"/>
      <c r="JF11" s="295"/>
      <c r="JG11" s="295"/>
      <c r="JH11" s="295"/>
      <c r="JI11" s="295"/>
      <c r="JJ11" s="295"/>
      <c r="JK11" s="295"/>
      <c r="JL11" s="295"/>
      <c r="JM11" s="295"/>
      <c r="JN11" s="295"/>
      <c r="JO11" s="295"/>
      <c r="JP11" s="295"/>
      <c r="JQ11" s="295"/>
      <c r="JR11" s="295"/>
      <c r="JS11" s="295"/>
      <c r="JT11" s="295"/>
      <c r="JU11" s="295"/>
      <c r="JV11" s="295"/>
      <c r="JW11" s="295"/>
      <c r="JX11" s="295"/>
      <c r="JY11" s="295"/>
      <c r="JZ11" s="295"/>
      <c r="KA11" s="295"/>
      <c r="KB11" s="295"/>
      <c r="KC11" s="295"/>
      <c r="KD11" s="295"/>
      <c r="KE11" s="295"/>
      <c r="KF11" s="295"/>
      <c r="KG11" s="295"/>
      <c r="KH11" s="295"/>
      <c r="KI11" s="295"/>
      <c r="KJ11" s="295"/>
      <c r="KK11" s="295"/>
      <c r="KL11" s="295"/>
      <c r="KM11" s="295"/>
      <c r="KN11" s="295"/>
      <c r="KO11" s="295"/>
      <c r="KP11" s="295"/>
      <c r="KQ11" s="295"/>
      <c r="KR11" s="295"/>
      <c r="KS11" s="295"/>
      <c r="KT11" s="295"/>
      <c r="KU11" s="295"/>
      <c r="KV11" s="295"/>
      <c r="KW11" s="295"/>
      <c r="KX11" s="295"/>
      <c r="KY11" s="295"/>
      <c r="KZ11" s="295"/>
      <c r="LA11" s="295"/>
      <c r="LB11" s="295"/>
      <c r="LC11" s="295"/>
      <c r="LD11" s="295"/>
      <c r="LE11" s="295"/>
      <c r="LF11" s="295"/>
      <c r="LG11" s="295"/>
      <c r="LH11" s="295"/>
      <c r="LI11" s="295"/>
      <c r="LJ11" s="295"/>
      <c r="LK11" s="295"/>
      <c r="LL11" s="295"/>
      <c r="LM11" s="295"/>
      <c r="LN11" s="295"/>
      <c r="LO11" s="295"/>
      <c r="LP11" s="295"/>
      <c r="LQ11" s="295"/>
      <c r="LR11" s="295"/>
      <c r="LS11" s="295"/>
      <c r="LT11" s="295"/>
      <c r="LU11" s="295"/>
      <c r="LV11" s="295"/>
      <c r="LW11" s="295"/>
      <c r="LX11" s="295"/>
      <c r="LY11" s="295"/>
      <c r="LZ11" s="295"/>
      <c r="MA11" s="295"/>
      <c r="MB11" s="295"/>
      <c r="MC11" s="295"/>
      <c r="MD11" s="295"/>
      <c r="ME11" s="295"/>
      <c r="MF11" s="295"/>
      <c r="MG11" s="295"/>
      <c r="MH11" s="295"/>
    </row>
    <row r="12" spans="1:346" s="18" customFormat="1" x14ac:dyDescent="0.2">
      <c r="A12" s="295"/>
      <c r="B12" s="8" t="s">
        <v>878</v>
      </c>
      <c r="C12" s="10" t="str">
        <f t="shared" si="25"/>
        <v>26</v>
      </c>
      <c r="D12" s="9" t="str">
        <f t="shared" si="25"/>
        <v>+01,82</v>
      </c>
      <c r="E12" s="10" t="s">
        <v>891</v>
      </c>
      <c r="F12" s="9" t="s">
        <v>892</v>
      </c>
      <c r="G12" s="302">
        <v>81.14</v>
      </c>
      <c r="H12" s="303">
        <f t="shared" si="26"/>
        <v>1.96</v>
      </c>
      <c r="I12" s="303">
        <v>1.9</v>
      </c>
      <c r="J12" s="13">
        <f t="shared" si="0"/>
        <v>1.93</v>
      </c>
      <c r="K12" s="14">
        <v>710</v>
      </c>
      <c r="L12" s="15">
        <f t="shared" si="14"/>
        <v>81.14</v>
      </c>
      <c r="M12" s="16">
        <v>1.3</v>
      </c>
      <c r="N12" s="14" t="s">
        <v>134</v>
      </c>
      <c r="O12" s="17">
        <f t="shared" si="27"/>
        <v>486.84000000000003</v>
      </c>
      <c r="P12" s="13">
        <f t="shared" si="1"/>
        <v>0</v>
      </c>
      <c r="Q12" s="13">
        <f t="shared" si="2"/>
        <v>0</v>
      </c>
      <c r="R12" s="13">
        <f t="shared" si="3"/>
        <v>0</v>
      </c>
      <c r="S12" s="13">
        <f t="shared" si="4"/>
        <v>0</v>
      </c>
      <c r="T12" s="13">
        <f t="shared" si="5"/>
        <v>213.75927300000001</v>
      </c>
      <c r="U12" s="13">
        <f t="shared" si="15"/>
        <v>10.68796365</v>
      </c>
      <c r="V12" s="13">
        <f t="shared" si="16"/>
        <v>203.07130935000001</v>
      </c>
      <c r="W12" s="13">
        <f t="shared" si="17"/>
        <v>0</v>
      </c>
      <c r="X12" s="13">
        <f t="shared" si="18"/>
        <v>0</v>
      </c>
      <c r="Y12" s="13">
        <f t="shared" si="6"/>
        <v>5.3439818250000002</v>
      </c>
      <c r="Z12" s="13">
        <f t="shared" si="7"/>
        <v>5.3439818250000002</v>
      </c>
      <c r="AA12" s="13">
        <f t="shared" si="8"/>
        <v>0</v>
      </c>
      <c r="AB12" s="13">
        <f t="shared" si="19"/>
        <v>0</v>
      </c>
      <c r="AC12" s="13">
        <f t="shared" si="20"/>
        <v>0</v>
      </c>
      <c r="AD12" s="13">
        <f t="shared" si="21"/>
        <v>95.443515394499997</v>
      </c>
      <c r="AE12" s="13">
        <f t="shared" si="22"/>
        <v>101.535654675</v>
      </c>
      <c r="AF12" s="13">
        <f t="shared" si="23"/>
        <v>0</v>
      </c>
      <c r="AG12" s="13">
        <f t="shared" si="24"/>
        <v>0</v>
      </c>
      <c r="AH12" s="13">
        <f t="shared" si="9"/>
        <v>6.0921392804999996</v>
      </c>
      <c r="AI12" s="13">
        <f t="shared" si="10"/>
        <v>105.482</v>
      </c>
      <c r="AJ12" s="13">
        <f t="shared" si="11"/>
        <v>213.75927300000001</v>
      </c>
      <c r="AK12" s="13">
        <f t="shared" si="12"/>
        <v>313.2004</v>
      </c>
      <c r="AL12" s="13">
        <f t="shared" si="13"/>
        <v>0</v>
      </c>
      <c r="AM12" s="295"/>
      <c r="AN12" s="295"/>
      <c r="AO12" s="295"/>
      <c r="AP12" s="295"/>
      <c r="AQ12" s="295"/>
      <c r="AR12" s="295"/>
      <c r="AS12" s="295"/>
      <c r="AT12" s="295"/>
      <c r="AU12" s="295"/>
      <c r="AV12" s="295"/>
      <c r="AW12" s="295"/>
      <c r="AX12" s="295"/>
      <c r="AY12" s="295"/>
      <c r="AZ12" s="295"/>
      <c r="BA12" s="295"/>
      <c r="BB12" s="295"/>
      <c r="BC12" s="295"/>
      <c r="BD12" s="295"/>
      <c r="BE12" s="295"/>
      <c r="BF12" s="295"/>
      <c r="BG12" s="295"/>
      <c r="BH12" s="295"/>
      <c r="BI12" s="295"/>
      <c r="BJ12" s="295"/>
      <c r="BK12" s="295"/>
      <c r="BL12" s="295"/>
      <c r="BM12" s="295"/>
      <c r="BN12" s="295"/>
      <c r="BO12" s="295"/>
      <c r="BP12" s="295"/>
      <c r="BQ12" s="295"/>
      <c r="BR12" s="295"/>
      <c r="BS12" s="295"/>
      <c r="BT12" s="295"/>
      <c r="BU12" s="295"/>
      <c r="BV12" s="295"/>
      <c r="BW12" s="295"/>
      <c r="BX12" s="295"/>
      <c r="BY12" s="295"/>
      <c r="BZ12" s="295"/>
      <c r="CA12" s="295"/>
      <c r="CB12" s="295"/>
      <c r="CC12" s="295"/>
      <c r="CD12" s="295"/>
      <c r="CE12" s="295"/>
      <c r="CF12" s="295"/>
      <c r="CG12" s="295"/>
      <c r="CH12" s="295"/>
      <c r="CI12" s="295"/>
      <c r="CJ12" s="295"/>
      <c r="CK12" s="295"/>
      <c r="CL12" s="295"/>
      <c r="CM12" s="295"/>
      <c r="CN12" s="295"/>
      <c r="CO12" s="295"/>
      <c r="CP12" s="295"/>
      <c r="CQ12" s="295"/>
      <c r="CR12" s="295"/>
      <c r="CS12" s="295"/>
      <c r="CT12" s="295"/>
      <c r="CU12" s="295"/>
      <c r="CV12" s="295"/>
      <c r="CW12" s="295"/>
      <c r="CX12" s="295"/>
      <c r="CY12" s="295"/>
      <c r="CZ12" s="295"/>
      <c r="DA12" s="295"/>
      <c r="DB12" s="295"/>
      <c r="DC12" s="295"/>
      <c r="DD12" s="295"/>
      <c r="DE12" s="295"/>
      <c r="DF12" s="295"/>
      <c r="DG12" s="295"/>
      <c r="DH12" s="295"/>
      <c r="DI12" s="295"/>
      <c r="DJ12" s="295"/>
      <c r="DK12" s="295"/>
      <c r="DL12" s="295"/>
      <c r="DM12" s="295"/>
      <c r="DN12" s="295"/>
      <c r="DO12" s="295"/>
      <c r="DP12" s="295"/>
      <c r="DQ12" s="295"/>
      <c r="DR12" s="295"/>
      <c r="DS12" s="295"/>
      <c r="DT12" s="295"/>
      <c r="DU12" s="295"/>
      <c r="DV12" s="295"/>
      <c r="DW12" s="295"/>
      <c r="DX12" s="295"/>
      <c r="DY12" s="295"/>
      <c r="DZ12" s="295"/>
      <c r="EA12" s="295"/>
      <c r="EB12" s="295"/>
      <c r="EC12" s="295"/>
      <c r="ED12" s="295"/>
      <c r="EE12" s="295"/>
      <c r="EF12" s="295"/>
      <c r="EG12" s="295"/>
      <c r="EH12" s="295"/>
      <c r="EI12" s="295"/>
      <c r="EJ12" s="295"/>
      <c r="EK12" s="295"/>
      <c r="EL12" s="295"/>
      <c r="EM12" s="295"/>
      <c r="EN12" s="295"/>
      <c r="EO12" s="295"/>
      <c r="EP12" s="295"/>
      <c r="EQ12" s="295"/>
      <c r="ER12" s="295"/>
      <c r="ES12" s="295"/>
      <c r="ET12" s="295"/>
      <c r="EU12" s="295"/>
      <c r="EV12" s="295"/>
      <c r="EW12" s="295"/>
      <c r="EX12" s="295"/>
      <c r="EY12" s="295"/>
      <c r="EZ12" s="295"/>
      <c r="FA12" s="295"/>
      <c r="FB12" s="295"/>
      <c r="FC12" s="295"/>
      <c r="FD12" s="295"/>
      <c r="FE12" s="295"/>
      <c r="FF12" s="295"/>
      <c r="FG12" s="295"/>
      <c r="FH12" s="295"/>
      <c r="FI12" s="295"/>
      <c r="FJ12" s="295"/>
      <c r="FK12" s="295"/>
      <c r="FL12" s="295"/>
      <c r="FM12" s="295"/>
      <c r="FN12" s="295"/>
      <c r="FO12" s="295"/>
      <c r="FP12" s="295"/>
      <c r="FQ12" s="295"/>
      <c r="FR12" s="295"/>
      <c r="FS12" s="295"/>
      <c r="FT12" s="295"/>
      <c r="FU12" s="295"/>
      <c r="FV12" s="295"/>
      <c r="FW12" s="295"/>
      <c r="FX12" s="295"/>
      <c r="FY12" s="295"/>
      <c r="FZ12" s="295"/>
      <c r="GA12" s="295"/>
      <c r="GB12" s="295"/>
      <c r="GC12" s="295"/>
      <c r="GD12" s="295"/>
      <c r="GE12" s="295"/>
      <c r="GF12" s="295"/>
      <c r="GG12" s="295"/>
      <c r="GH12" s="295"/>
      <c r="GI12" s="295"/>
      <c r="GJ12" s="295"/>
      <c r="GK12" s="295"/>
      <c r="GL12" s="295"/>
      <c r="GM12" s="295"/>
      <c r="GN12" s="295"/>
      <c r="GO12" s="295"/>
      <c r="GP12" s="295"/>
      <c r="GQ12" s="295"/>
      <c r="GR12" s="295"/>
      <c r="GS12" s="295"/>
      <c r="GT12" s="295"/>
      <c r="GU12" s="295"/>
      <c r="GV12" s="295"/>
      <c r="GW12" s="295"/>
      <c r="GX12" s="295"/>
      <c r="GY12" s="295"/>
      <c r="GZ12" s="295"/>
      <c r="HA12" s="295"/>
      <c r="HB12" s="295"/>
      <c r="HC12" s="295"/>
      <c r="HD12" s="295"/>
      <c r="HE12" s="295"/>
      <c r="HF12" s="295"/>
      <c r="HG12" s="295"/>
      <c r="HH12" s="295"/>
      <c r="HI12" s="295"/>
      <c r="HJ12" s="295"/>
      <c r="HK12" s="295"/>
      <c r="HL12" s="295"/>
      <c r="HM12" s="295"/>
      <c r="HN12" s="295"/>
      <c r="HO12" s="295"/>
      <c r="HP12" s="295"/>
      <c r="HQ12" s="295"/>
      <c r="HR12" s="295"/>
      <c r="HS12" s="295"/>
      <c r="HT12" s="295"/>
      <c r="HU12" s="295"/>
      <c r="HV12" s="295"/>
      <c r="HW12" s="295"/>
      <c r="HX12" s="295"/>
      <c r="HY12" s="295"/>
      <c r="HZ12" s="295"/>
      <c r="IA12" s="295"/>
      <c r="IB12" s="295"/>
      <c r="IC12" s="295"/>
      <c r="ID12" s="295"/>
      <c r="IE12" s="295"/>
      <c r="IF12" s="295"/>
      <c r="IG12" s="295"/>
      <c r="IH12" s="295"/>
      <c r="II12" s="295"/>
      <c r="IJ12" s="295"/>
      <c r="IK12" s="295"/>
      <c r="IL12" s="295"/>
      <c r="IM12" s="295"/>
      <c r="IN12" s="295"/>
      <c r="IO12" s="295"/>
      <c r="IP12" s="295"/>
      <c r="IQ12" s="295"/>
      <c r="IR12" s="295"/>
      <c r="IS12" s="295"/>
      <c r="IT12" s="295"/>
      <c r="IU12" s="295"/>
      <c r="IV12" s="295"/>
      <c r="IW12" s="295"/>
      <c r="IX12" s="295"/>
      <c r="IY12" s="295"/>
      <c r="IZ12" s="295"/>
      <c r="JA12" s="295"/>
      <c r="JB12" s="295"/>
      <c r="JC12" s="295"/>
      <c r="JD12" s="295"/>
      <c r="JE12" s="295"/>
      <c r="JF12" s="295"/>
      <c r="JG12" s="295"/>
      <c r="JH12" s="295"/>
      <c r="JI12" s="295"/>
      <c r="JJ12" s="295"/>
      <c r="JK12" s="295"/>
      <c r="JL12" s="295"/>
      <c r="JM12" s="295"/>
      <c r="JN12" s="295"/>
      <c r="JO12" s="295"/>
      <c r="JP12" s="295"/>
      <c r="JQ12" s="295"/>
      <c r="JR12" s="295"/>
      <c r="JS12" s="295"/>
      <c r="JT12" s="295"/>
      <c r="JU12" s="295"/>
      <c r="JV12" s="295"/>
      <c r="JW12" s="295"/>
      <c r="JX12" s="295"/>
      <c r="JY12" s="295"/>
      <c r="JZ12" s="295"/>
      <c r="KA12" s="295"/>
      <c r="KB12" s="295"/>
      <c r="KC12" s="295"/>
      <c r="KD12" s="295"/>
      <c r="KE12" s="295"/>
      <c r="KF12" s="295"/>
      <c r="KG12" s="295"/>
      <c r="KH12" s="295"/>
      <c r="KI12" s="295"/>
      <c r="KJ12" s="295"/>
      <c r="KK12" s="295"/>
      <c r="KL12" s="295"/>
      <c r="KM12" s="295"/>
      <c r="KN12" s="295"/>
      <c r="KO12" s="295"/>
      <c r="KP12" s="295"/>
      <c r="KQ12" s="295"/>
      <c r="KR12" s="295"/>
      <c r="KS12" s="295"/>
      <c r="KT12" s="295"/>
      <c r="KU12" s="295"/>
      <c r="KV12" s="295"/>
      <c r="KW12" s="295"/>
      <c r="KX12" s="295"/>
      <c r="KY12" s="295"/>
      <c r="KZ12" s="295"/>
      <c r="LA12" s="295"/>
      <c r="LB12" s="295"/>
      <c r="LC12" s="295"/>
      <c r="LD12" s="295"/>
      <c r="LE12" s="295"/>
      <c r="LF12" s="295"/>
      <c r="LG12" s="295"/>
      <c r="LH12" s="295"/>
      <c r="LI12" s="295"/>
      <c r="LJ12" s="295"/>
      <c r="LK12" s="295"/>
      <c r="LL12" s="295"/>
      <c r="LM12" s="295"/>
      <c r="LN12" s="295"/>
      <c r="LO12" s="295"/>
      <c r="LP12" s="295"/>
      <c r="LQ12" s="295"/>
      <c r="LR12" s="295"/>
      <c r="LS12" s="295"/>
      <c r="LT12" s="295"/>
      <c r="LU12" s="295"/>
      <c r="LV12" s="295"/>
      <c r="LW12" s="295"/>
      <c r="LX12" s="295"/>
      <c r="LY12" s="295"/>
      <c r="LZ12" s="295"/>
      <c r="MA12" s="295"/>
      <c r="MB12" s="295"/>
      <c r="MC12" s="295"/>
      <c r="MD12" s="295"/>
      <c r="ME12" s="295"/>
      <c r="MF12" s="295"/>
      <c r="MG12" s="295"/>
      <c r="MH12" s="295"/>
    </row>
    <row r="13" spans="1:346" s="18" customFormat="1" x14ac:dyDescent="0.2">
      <c r="A13" s="295"/>
      <c r="B13" s="8" t="s">
        <v>878</v>
      </c>
      <c r="C13" s="10" t="str">
        <f t="shared" si="25"/>
        <v>30</v>
      </c>
      <c r="D13" s="9" t="str">
        <f t="shared" si="25"/>
        <v>+02,96</v>
      </c>
      <c r="E13" s="10" t="s">
        <v>893</v>
      </c>
      <c r="F13" s="9" t="s">
        <v>892</v>
      </c>
      <c r="G13" s="302">
        <v>180</v>
      </c>
      <c r="H13" s="303">
        <f t="shared" si="26"/>
        <v>1.9</v>
      </c>
      <c r="I13" s="303">
        <v>1.9</v>
      </c>
      <c r="J13" s="13">
        <f t="shared" si="0"/>
        <v>1.9</v>
      </c>
      <c r="K13" s="14">
        <v>710</v>
      </c>
      <c r="L13" s="15">
        <f t="shared" si="14"/>
        <v>180</v>
      </c>
      <c r="M13" s="16">
        <v>1.3</v>
      </c>
      <c r="N13" s="14" t="s">
        <v>134</v>
      </c>
      <c r="O13" s="17">
        <f t="shared" si="27"/>
        <v>1080</v>
      </c>
      <c r="P13" s="13">
        <f t="shared" si="1"/>
        <v>0</v>
      </c>
      <c r="Q13" s="13">
        <f t="shared" si="2"/>
        <v>0</v>
      </c>
      <c r="R13" s="13">
        <f t="shared" si="3"/>
        <v>0</v>
      </c>
      <c r="S13" s="13">
        <f t="shared" si="4"/>
        <v>0</v>
      </c>
      <c r="T13" s="13">
        <f t="shared" si="5"/>
        <v>466.83000000000004</v>
      </c>
      <c r="U13" s="13">
        <f t="shared" si="15"/>
        <v>23.341500000000003</v>
      </c>
      <c r="V13" s="13">
        <f t="shared" si="16"/>
        <v>443.48850000000004</v>
      </c>
      <c r="W13" s="13">
        <f t="shared" si="17"/>
        <v>0</v>
      </c>
      <c r="X13" s="13">
        <f t="shared" si="18"/>
        <v>0</v>
      </c>
      <c r="Y13" s="13">
        <f t="shared" si="6"/>
        <v>11.670750000000002</v>
      </c>
      <c r="Z13" s="13">
        <f t="shared" si="7"/>
        <v>11.670750000000002</v>
      </c>
      <c r="AA13" s="13">
        <f t="shared" si="8"/>
        <v>0</v>
      </c>
      <c r="AB13" s="13">
        <f t="shared" si="19"/>
        <v>0</v>
      </c>
      <c r="AC13" s="13">
        <f t="shared" si="20"/>
        <v>0</v>
      </c>
      <c r="AD13" s="13">
        <f t="shared" si="21"/>
        <v>208.439595</v>
      </c>
      <c r="AE13" s="13">
        <f t="shared" si="22"/>
        <v>221.74425000000002</v>
      </c>
      <c r="AF13" s="13">
        <f t="shared" si="23"/>
        <v>0</v>
      </c>
      <c r="AG13" s="13">
        <f t="shared" si="24"/>
        <v>0</v>
      </c>
      <c r="AH13" s="13">
        <f t="shared" si="9"/>
        <v>13.304655</v>
      </c>
      <c r="AI13" s="13">
        <f t="shared" si="10"/>
        <v>234</v>
      </c>
      <c r="AJ13" s="13">
        <f t="shared" si="11"/>
        <v>466.83000000000004</v>
      </c>
      <c r="AK13" s="13">
        <f t="shared" si="12"/>
        <v>684</v>
      </c>
      <c r="AL13" s="13">
        <f t="shared" si="13"/>
        <v>0</v>
      </c>
      <c r="AM13" s="295"/>
      <c r="AN13" s="295"/>
      <c r="AO13" s="295"/>
      <c r="AP13" s="295"/>
      <c r="AQ13" s="295"/>
      <c r="AR13" s="295"/>
      <c r="AS13" s="295"/>
      <c r="AT13" s="295"/>
      <c r="AU13" s="295"/>
      <c r="AV13" s="295"/>
      <c r="AW13" s="295"/>
      <c r="AX13" s="295"/>
      <c r="AY13" s="295"/>
      <c r="AZ13" s="295"/>
      <c r="BA13" s="295"/>
      <c r="BB13" s="295"/>
      <c r="BC13" s="295"/>
      <c r="BD13" s="295"/>
      <c r="BE13" s="295"/>
      <c r="BF13" s="295"/>
      <c r="BG13" s="295"/>
      <c r="BH13" s="295"/>
      <c r="BI13" s="295"/>
      <c r="BJ13" s="295"/>
      <c r="BK13" s="295"/>
      <c r="BL13" s="295"/>
      <c r="BM13" s="295"/>
      <c r="BN13" s="295"/>
      <c r="BO13" s="295"/>
      <c r="BP13" s="295"/>
      <c r="BQ13" s="295"/>
      <c r="BR13" s="295"/>
      <c r="BS13" s="295"/>
      <c r="BT13" s="295"/>
      <c r="BU13" s="295"/>
      <c r="BV13" s="295"/>
      <c r="BW13" s="295"/>
      <c r="BX13" s="295"/>
      <c r="BY13" s="295"/>
      <c r="BZ13" s="295"/>
      <c r="CA13" s="295"/>
      <c r="CB13" s="295"/>
      <c r="CC13" s="295"/>
      <c r="CD13" s="295"/>
      <c r="CE13" s="295"/>
      <c r="CF13" s="295"/>
      <c r="CG13" s="295"/>
      <c r="CH13" s="295"/>
      <c r="CI13" s="295"/>
      <c r="CJ13" s="295"/>
      <c r="CK13" s="295"/>
      <c r="CL13" s="295"/>
      <c r="CM13" s="295"/>
      <c r="CN13" s="295"/>
      <c r="CO13" s="295"/>
      <c r="CP13" s="295"/>
      <c r="CQ13" s="295"/>
      <c r="CR13" s="295"/>
      <c r="CS13" s="295"/>
      <c r="CT13" s="295"/>
      <c r="CU13" s="295"/>
      <c r="CV13" s="295"/>
      <c r="CW13" s="295"/>
      <c r="CX13" s="295"/>
      <c r="CY13" s="295"/>
      <c r="CZ13" s="295"/>
      <c r="DA13" s="295"/>
      <c r="DB13" s="295"/>
      <c r="DC13" s="295"/>
      <c r="DD13" s="295"/>
      <c r="DE13" s="295"/>
      <c r="DF13" s="295"/>
      <c r="DG13" s="295"/>
      <c r="DH13" s="295"/>
      <c r="DI13" s="295"/>
      <c r="DJ13" s="295"/>
      <c r="DK13" s="295"/>
      <c r="DL13" s="295"/>
      <c r="DM13" s="295"/>
      <c r="DN13" s="295"/>
      <c r="DO13" s="295"/>
      <c r="DP13" s="295"/>
      <c r="DQ13" s="295"/>
      <c r="DR13" s="295"/>
      <c r="DS13" s="295"/>
      <c r="DT13" s="295"/>
      <c r="DU13" s="295"/>
      <c r="DV13" s="295"/>
      <c r="DW13" s="295"/>
      <c r="DX13" s="295"/>
      <c r="DY13" s="295"/>
      <c r="DZ13" s="295"/>
      <c r="EA13" s="295"/>
      <c r="EB13" s="295"/>
      <c r="EC13" s="295"/>
      <c r="ED13" s="295"/>
      <c r="EE13" s="295"/>
      <c r="EF13" s="295"/>
      <c r="EG13" s="295"/>
      <c r="EH13" s="295"/>
      <c r="EI13" s="295"/>
      <c r="EJ13" s="295"/>
      <c r="EK13" s="295"/>
      <c r="EL13" s="295"/>
      <c r="EM13" s="295"/>
      <c r="EN13" s="295"/>
      <c r="EO13" s="295"/>
      <c r="EP13" s="295"/>
      <c r="EQ13" s="295"/>
      <c r="ER13" s="295"/>
      <c r="ES13" s="295"/>
      <c r="ET13" s="295"/>
      <c r="EU13" s="295"/>
      <c r="EV13" s="295"/>
      <c r="EW13" s="295"/>
      <c r="EX13" s="295"/>
      <c r="EY13" s="295"/>
      <c r="EZ13" s="295"/>
      <c r="FA13" s="295"/>
      <c r="FB13" s="295"/>
      <c r="FC13" s="295"/>
      <c r="FD13" s="295"/>
      <c r="FE13" s="295"/>
      <c r="FF13" s="295"/>
      <c r="FG13" s="295"/>
      <c r="FH13" s="295"/>
      <c r="FI13" s="295"/>
      <c r="FJ13" s="295"/>
      <c r="FK13" s="295"/>
      <c r="FL13" s="295"/>
      <c r="FM13" s="295"/>
      <c r="FN13" s="295"/>
      <c r="FO13" s="295"/>
      <c r="FP13" s="295"/>
      <c r="FQ13" s="295"/>
      <c r="FR13" s="295"/>
      <c r="FS13" s="295"/>
      <c r="FT13" s="295"/>
      <c r="FU13" s="295"/>
      <c r="FV13" s="295"/>
      <c r="FW13" s="295"/>
      <c r="FX13" s="295"/>
      <c r="FY13" s="295"/>
      <c r="FZ13" s="295"/>
      <c r="GA13" s="295"/>
      <c r="GB13" s="295"/>
      <c r="GC13" s="295"/>
      <c r="GD13" s="295"/>
      <c r="GE13" s="295"/>
      <c r="GF13" s="295"/>
      <c r="GG13" s="295"/>
      <c r="GH13" s="295"/>
      <c r="GI13" s="295"/>
      <c r="GJ13" s="295"/>
      <c r="GK13" s="295"/>
      <c r="GL13" s="295"/>
      <c r="GM13" s="295"/>
      <c r="GN13" s="295"/>
      <c r="GO13" s="295"/>
      <c r="GP13" s="295"/>
      <c r="GQ13" s="295"/>
      <c r="GR13" s="295"/>
      <c r="GS13" s="295"/>
      <c r="GT13" s="295"/>
      <c r="GU13" s="295"/>
      <c r="GV13" s="295"/>
      <c r="GW13" s="295"/>
      <c r="GX13" s="295"/>
      <c r="GY13" s="295"/>
      <c r="GZ13" s="295"/>
      <c r="HA13" s="295"/>
      <c r="HB13" s="295"/>
      <c r="HC13" s="295"/>
      <c r="HD13" s="295"/>
      <c r="HE13" s="295"/>
      <c r="HF13" s="295"/>
      <c r="HG13" s="295"/>
      <c r="HH13" s="295"/>
      <c r="HI13" s="295"/>
      <c r="HJ13" s="295"/>
      <c r="HK13" s="295"/>
      <c r="HL13" s="295"/>
      <c r="HM13" s="295"/>
      <c r="HN13" s="295"/>
      <c r="HO13" s="295"/>
      <c r="HP13" s="295"/>
      <c r="HQ13" s="295"/>
      <c r="HR13" s="295"/>
      <c r="HS13" s="295"/>
      <c r="HT13" s="295"/>
      <c r="HU13" s="295"/>
      <c r="HV13" s="295"/>
      <c r="HW13" s="295"/>
      <c r="HX13" s="295"/>
      <c r="HY13" s="295"/>
      <c r="HZ13" s="295"/>
      <c r="IA13" s="295"/>
      <c r="IB13" s="295"/>
      <c r="IC13" s="295"/>
      <c r="ID13" s="295"/>
      <c r="IE13" s="295"/>
      <c r="IF13" s="295"/>
      <c r="IG13" s="295"/>
      <c r="IH13" s="295"/>
      <c r="II13" s="295"/>
      <c r="IJ13" s="295"/>
      <c r="IK13" s="295"/>
      <c r="IL13" s="295"/>
      <c r="IM13" s="295"/>
      <c r="IN13" s="295"/>
      <c r="IO13" s="295"/>
      <c r="IP13" s="295"/>
      <c r="IQ13" s="295"/>
      <c r="IR13" s="295"/>
      <c r="IS13" s="295"/>
      <c r="IT13" s="295"/>
      <c r="IU13" s="295"/>
      <c r="IV13" s="295"/>
      <c r="IW13" s="295"/>
      <c r="IX13" s="295"/>
      <c r="IY13" s="295"/>
      <c r="IZ13" s="295"/>
      <c r="JA13" s="295"/>
      <c r="JB13" s="295"/>
      <c r="JC13" s="295"/>
      <c r="JD13" s="295"/>
      <c r="JE13" s="295"/>
      <c r="JF13" s="295"/>
      <c r="JG13" s="295"/>
      <c r="JH13" s="295"/>
      <c r="JI13" s="295"/>
      <c r="JJ13" s="295"/>
      <c r="JK13" s="295"/>
      <c r="JL13" s="295"/>
      <c r="JM13" s="295"/>
      <c r="JN13" s="295"/>
      <c r="JO13" s="295"/>
      <c r="JP13" s="295"/>
      <c r="JQ13" s="295"/>
      <c r="JR13" s="295"/>
      <c r="JS13" s="295"/>
      <c r="JT13" s="295"/>
      <c r="JU13" s="295"/>
      <c r="JV13" s="295"/>
      <c r="JW13" s="295"/>
      <c r="JX13" s="295"/>
      <c r="JY13" s="295"/>
      <c r="JZ13" s="295"/>
      <c r="KA13" s="295"/>
      <c r="KB13" s="295"/>
      <c r="KC13" s="295"/>
      <c r="KD13" s="295"/>
      <c r="KE13" s="295"/>
      <c r="KF13" s="295"/>
      <c r="KG13" s="295"/>
      <c r="KH13" s="295"/>
      <c r="KI13" s="295"/>
      <c r="KJ13" s="295"/>
      <c r="KK13" s="295"/>
      <c r="KL13" s="295"/>
      <c r="KM13" s="295"/>
      <c r="KN13" s="295"/>
      <c r="KO13" s="295"/>
      <c r="KP13" s="295"/>
      <c r="KQ13" s="295"/>
      <c r="KR13" s="295"/>
      <c r="KS13" s="295"/>
      <c r="KT13" s="295"/>
      <c r="KU13" s="295"/>
      <c r="KV13" s="295"/>
      <c r="KW13" s="295"/>
      <c r="KX13" s="295"/>
      <c r="KY13" s="295"/>
      <c r="KZ13" s="295"/>
      <c r="LA13" s="295"/>
      <c r="LB13" s="295"/>
      <c r="LC13" s="295"/>
      <c r="LD13" s="295"/>
      <c r="LE13" s="295"/>
      <c r="LF13" s="295"/>
      <c r="LG13" s="295"/>
      <c r="LH13" s="295"/>
      <c r="LI13" s="295"/>
      <c r="LJ13" s="295"/>
      <c r="LK13" s="295"/>
      <c r="LL13" s="295"/>
      <c r="LM13" s="295"/>
      <c r="LN13" s="295"/>
      <c r="LO13" s="295"/>
      <c r="LP13" s="295"/>
      <c r="LQ13" s="295"/>
      <c r="LR13" s="295"/>
      <c r="LS13" s="295"/>
      <c r="LT13" s="295"/>
      <c r="LU13" s="295"/>
      <c r="LV13" s="295"/>
      <c r="LW13" s="295"/>
      <c r="LX13" s="295"/>
      <c r="LY13" s="295"/>
      <c r="LZ13" s="295"/>
      <c r="MA13" s="295"/>
      <c r="MB13" s="295"/>
      <c r="MC13" s="295"/>
      <c r="MD13" s="295"/>
      <c r="ME13" s="295"/>
      <c r="MF13" s="295"/>
      <c r="MG13" s="295"/>
      <c r="MH13" s="295"/>
    </row>
    <row r="14" spans="1:346" s="18" customFormat="1" x14ac:dyDescent="0.2">
      <c r="A14" s="295"/>
      <c r="B14" s="8" t="s">
        <v>878</v>
      </c>
      <c r="C14" s="10" t="str">
        <f t="shared" si="25"/>
        <v>39</v>
      </c>
      <c r="D14" s="9" t="str">
        <f t="shared" si="25"/>
        <v>+02,96</v>
      </c>
      <c r="E14" s="10" t="s">
        <v>894</v>
      </c>
      <c r="F14" s="9" t="s">
        <v>895</v>
      </c>
      <c r="G14" s="302">
        <v>221.43</v>
      </c>
      <c r="H14" s="303">
        <f t="shared" si="26"/>
        <v>1.9</v>
      </c>
      <c r="I14" s="303">
        <v>1.9</v>
      </c>
      <c r="J14" s="13">
        <f t="shared" si="0"/>
        <v>1.9</v>
      </c>
      <c r="K14" s="14">
        <v>710</v>
      </c>
      <c r="L14" s="15">
        <f t="shared" si="14"/>
        <v>221.43</v>
      </c>
      <c r="M14" s="16">
        <v>1.3</v>
      </c>
      <c r="N14" s="14" t="s">
        <v>134</v>
      </c>
      <c r="O14" s="17">
        <f t="shared" si="27"/>
        <v>1328.58</v>
      </c>
      <c r="P14" s="13">
        <f t="shared" si="1"/>
        <v>0</v>
      </c>
      <c r="Q14" s="13">
        <f t="shared" si="2"/>
        <v>0</v>
      </c>
      <c r="R14" s="13">
        <f t="shared" si="3"/>
        <v>0</v>
      </c>
      <c r="S14" s="13">
        <f t="shared" si="4"/>
        <v>0</v>
      </c>
      <c r="T14" s="13">
        <f t="shared" si="5"/>
        <v>574.27870500000006</v>
      </c>
      <c r="U14" s="13">
        <f t="shared" si="15"/>
        <v>28.713935250000006</v>
      </c>
      <c r="V14" s="13">
        <f t="shared" si="16"/>
        <v>545.56476974999998</v>
      </c>
      <c r="W14" s="13">
        <f t="shared" si="17"/>
        <v>0</v>
      </c>
      <c r="X14" s="13">
        <f t="shared" si="18"/>
        <v>0</v>
      </c>
      <c r="Y14" s="13">
        <f t="shared" si="6"/>
        <v>14.356967625000003</v>
      </c>
      <c r="Z14" s="13">
        <f t="shared" si="7"/>
        <v>14.356967625000003</v>
      </c>
      <c r="AA14" s="13">
        <f t="shared" si="8"/>
        <v>0</v>
      </c>
      <c r="AB14" s="13">
        <f t="shared" si="19"/>
        <v>0</v>
      </c>
      <c r="AC14" s="13">
        <f t="shared" si="20"/>
        <v>0</v>
      </c>
      <c r="AD14" s="13">
        <f t="shared" si="21"/>
        <v>256.41544178249995</v>
      </c>
      <c r="AE14" s="13">
        <f t="shared" si="22"/>
        <v>272.78238487499999</v>
      </c>
      <c r="AF14" s="13">
        <f t="shared" si="23"/>
        <v>0</v>
      </c>
      <c r="AG14" s="13">
        <f t="shared" si="24"/>
        <v>0</v>
      </c>
      <c r="AH14" s="13">
        <f t="shared" si="9"/>
        <v>16.366943092499998</v>
      </c>
      <c r="AI14" s="13">
        <f t="shared" si="10"/>
        <v>287.85900000000004</v>
      </c>
      <c r="AJ14" s="13">
        <f t="shared" si="11"/>
        <v>574.27870500000006</v>
      </c>
      <c r="AK14" s="13">
        <f t="shared" si="12"/>
        <v>841.43399999999997</v>
      </c>
      <c r="AL14" s="13">
        <f t="shared" si="13"/>
        <v>0</v>
      </c>
      <c r="AM14" s="295"/>
      <c r="AN14" s="295"/>
      <c r="AO14" s="295"/>
      <c r="AP14" s="295"/>
      <c r="AQ14" s="295"/>
      <c r="AR14" s="295"/>
      <c r="AS14" s="295"/>
      <c r="AT14" s="295"/>
      <c r="AU14" s="295"/>
      <c r="AV14" s="295"/>
      <c r="AW14" s="295"/>
      <c r="AX14" s="295"/>
      <c r="AY14" s="295"/>
      <c r="AZ14" s="295"/>
      <c r="BA14" s="295"/>
      <c r="BB14" s="295"/>
      <c r="BC14" s="295"/>
      <c r="BD14" s="295"/>
      <c r="BE14" s="295"/>
      <c r="BF14" s="295"/>
      <c r="BG14" s="295"/>
      <c r="BH14" s="295"/>
      <c r="BI14" s="295"/>
      <c r="BJ14" s="295"/>
      <c r="BK14" s="295"/>
      <c r="BL14" s="295"/>
      <c r="BM14" s="295"/>
      <c r="BN14" s="295"/>
      <c r="BO14" s="295"/>
      <c r="BP14" s="295"/>
      <c r="BQ14" s="295"/>
      <c r="BR14" s="295"/>
      <c r="BS14" s="295"/>
      <c r="BT14" s="295"/>
      <c r="BU14" s="295"/>
      <c r="BV14" s="295"/>
      <c r="BW14" s="295"/>
      <c r="BX14" s="295"/>
      <c r="BY14" s="295"/>
      <c r="BZ14" s="295"/>
      <c r="CA14" s="295"/>
      <c r="CB14" s="295"/>
      <c r="CC14" s="295"/>
      <c r="CD14" s="295"/>
      <c r="CE14" s="295"/>
      <c r="CF14" s="295"/>
      <c r="CG14" s="295"/>
      <c r="CH14" s="295"/>
      <c r="CI14" s="295"/>
      <c r="CJ14" s="295"/>
      <c r="CK14" s="295"/>
      <c r="CL14" s="295"/>
      <c r="CM14" s="295"/>
      <c r="CN14" s="295"/>
      <c r="CO14" s="295"/>
      <c r="CP14" s="295"/>
      <c r="CQ14" s="295"/>
      <c r="CR14" s="295"/>
      <c r="CS14" s="295"/>
      <c r="CT14" s="295"/>
      <c r="CU14" s="295"/>
      <c r="CV14" s="295"/>
      <c r="CW14" s="295"/>
      <c r="CX14" s="295"/>
      <c r="CY14" s="295"/>
      <c r="CZ14" s="295"/>
      <c r="DA14" s="295"/>
      <c r="DB14" s="295"/>
      <c r="DC14" s="295"/>
      <c r="DD14" s="295"/>
      <c r="DE14" s="295"/>
      <c r="DF14" s="295"/>
      <c r="DG14" s="295"/>
      <c r="DH14" s="295"/>
      <c r="DI14" s="295"/>
      <c r="DJ14" s="295"/>
      <c r="DK14" s="295"/>
      <c r="DL14" s="295"/>
      <c r="DM14" s="295"/>
      <c r="DN14" s="295"/>
      <c r="DO14" s="295"/>
      <c r="DP14" s="295"/>
      <c r="DQ14" s="295"/>
      <c r="DR14" s="295"/>
      <c r="DS14" s="295"/>
      <c r="DT14" s="295"/>
      <c r="DU14" s="295"/>
      <c r="DV14" s="295"/>
      <c r="DW14" s="295"/>
      <c r="DX14" s="295"/>
      <c r="DY14" s="295"/>
      <c r="DZ14" s="295"/>
      <c r="EA14" s="295"/>
      <c r="EB14" s="295"/>
      <c r="EC14" s="295"/>
      <c r="ED14" s="295"/>
      <c r="EE14" s="295"/>
      <c r="EF14" s="295"/>
      <c r="EG14" s="295"/>
      <c r="EH14" s="295"/>
      <c r="EI14" s="295"/>
      <c r="EJ14" s="295"/>
      <c r="EK14" s="295"/>
      <c r="EL14" s="295"/>
      <c r="EM14" s="295"/>
      <c r="EN14" s="295"/>
      <c r="EO14" s="295"/>
      <c r="EP14" s="295"/>
      <c r="EQ14" s="295"/>
      <c r="ER14" s="295"/>
      <c r="ES14" s="295"/>
      <c r="ET14" s="295"/>
      <c r="EU14" s="295"/>
      <c r="EV14" s="295"/>
      <c r="EW14" s="295"/>
      <c r="EX14" s="295"/>
      <c r="EY14" s="295"/>
      <c r="EZ14" s="295"/>
      <c r="FA14" s="295"/>
      <c r="FB14" s="295"/>
      <c r="FC14" s="295"/>
      <c r="FD14" s="295"/>
      <c r="FE14" s="295"/>
      <c r="FF14" s="295"/>
      <c r="FG14" s="295"/>
      <c r="FH14" s="295"/>
      <c r="FI14" s="295"/>
      <c r="FJ14" s="295"/>
      <c r="FK14" s="295"/>
      <c r="FL14" s="295"/>
      <c r="FM14" s="295"/>
      <c r="FN14" s="295"/>
      <c r="FO14" s="295"/>
      <c r="FP14" s="295"/>
      <c r="FQ14" s="295"/>
      <c r="FR14" s="295"/>
      <c r="FS14" s="295"/>
      <c r="FT14" s="295"/>
      <c r="FU14" s="295"/>
      <c r="FV14" s="295"/>
      <c r="FW14" s="295"/>
      <c r="FX14" s="295"/>
      <c r="FY14" s="295"/>
      <c r="FZ14" s="295"/>
      <c r="GA14" s="295"/>
      <c r="GB14" s="295"/>
      <c r="GC14" s="295"/>
      <c r="GD14" s="295"/>
      <c r="GE14" s="295"/>
      <c r="GF14" s="295"/>
      <c r="GG14" s="295"/>
      <c r="GH14" s="295"/>
      <c r="GI14" s="295"/>
      <c r="GJ14" s="295"/>
      <c r="GK14" s="295"/>
      <c r="GL14" s="295"/>
      <c r="GM14" s="295"/>
      <c r="GN14" s="295"/>
      <c r="GO14" s="295"/>
      <c r="GP14" s="295"/>
      <c r="GQ14" s="295"/>
      <c r="GR14" s="295"/>
      <c r="GS14" s="295"/>
      <c r="GT14" s="295"/>
      <c r="GU14" s="295"/>
      <c r="GV14" s="295"/>
      <c r="GW14" s="295"/>
      <c r="GX14" s="295"/>
      <c r="GY14" s="295"/>
      <c r="GZ14" s="295"/>
      <c r="HA14" s="295"/>
      <c r="HB14" s="295"/>
      <c r="HC14" s="295"/>
      <c r="HD14" s="295"/>
      <c r="HE14" s="295"/>
      <c r="HF14" s="295"/>
      <c r="HG14" s="295"/>
      <c r="HH14" s="295"/>
      <c r="HI14" s="295"/>
      <c r="HJ14" s="295"/>
      <c r="HK14" s="295"/>
      <c r="HL14" s="295"/>
      <c r="HM14" s="295"/>
      <c r="HN14" s="295"/>
      <c r="HO14" s="295"/>
      <c r="HP14" s="295"/>
      <c r="HQ14" s="295"/>
      <c r="HR14" s="295"/>
      <c r="HS14" s="295"/>
      <c r="HT14" s="295"/>
      <c r="HU14" s="295"/>
      <c r="HV14" s="295"/>
      <c r="HW14" s="295"/>
      <c r="HX14" s="295"/>
      <c r="HY14" s="295"/>
      <c r="HZ14" s="295"/>
      <c r="IA14" s="295"/>
      <c r="IB14" s="295"/>
      <c r="IC14" s="295"/>
      <c r="ID14" s="295"/>
      <c r="IE14" s="295"/>
      <c r="IF14" s="295"/>
      <c r="IG14" s="295"/>
      <c r="IH14" s="295"/>
      <c r="II14" s="295"/>
      <c r="IJ14" s="295"/>
      <c r="IK14" s="295"/>
      <c r="IL14" s="295"/>
      <c r="IM14" s="295"/>
      <c r="IN14" s="295"/>
      <c r="IO14" s="295"/>
      <c r="IP14" s="295"/>
      <c r="IQ14" s="295"/>
      <c r="IR14" s="295"/>
      <c r="IS14" s="295"/>
      <c r="IT14" s="295"/>
      <c r="IU14" s="295"/>
      <c r="IV14" s="295"/>
      <c r="IW14" s="295"/>
      <c r="IX14" s="295"/>
      <c r="IY14" s="295"/>
      <c r="IZ14" s="295"/>
      <c r="JA14" s="295"/>
      <c r="JB14" s="295"/>
      <c r="JC14" s="295"/>
      <c r="JD14" s="295"/>
      <c r="JE14" s="295"/>
      <c r="JF14" s="295"/>
      <c r="JG14" s="295"/>
      <c r="JH14" s="295"/>
      <c r="JI14" s="295"/>
      <c r="JJ14" s="295"/>
      <c r="JK14" s="295"/>
      <c r="JL14" s="295"/>
      <c r="JM14" s="295"/>
      <c r="JN14" s="295"/>
      <c r="JO14" s="295"/>
      <c r="JP14" s="295"/>
      <c r="JQ14" s="295"/>
      <c r="JR14" s="295"/>
      <c r="JS14" s="295"/>
      <c r="JT14" s="295"/>
      <c r="JU14" s="295"/>
      <c r="JV14" s="295"/>
      <c r="JW14" s="295"/>
      <c r="JX14" s="295"/>
      <c r="JY14" s="295"/>
      <c r="JZ14" s="295"/>
      <c r="KA14" s="295"/>
      <c r="KB14" s="295"/>
      <c r="KC14" s="295"/>
      <c r="KD14" s="295"/>
      <c r="KE14" s="295"/>
      <c r="KF14" s="295"/>
      <c r="KG14" s="295"/>
      <c r="KH14" s="295"/>
      <c r="KI14" s="295"/>
      <c r="KJ14" s="295"/>
      <c r="KK14" s="295"/>
      <c r="KL14" s="295"/>
      <c r="KM14" s="295"/>
      <c r="KN14" s="295"/>
      <c r="KO14" s="295"/>
      <c r="KP14" s="295"/>
      <c r="KQ14" s="295"/>
      <c r="KR14" s="295"/>
      <c r="KS14" s="295"/>
      <c r="KT14" s="295"/>
      <c r="KU14" s="295"/>
      <c r="KV14" s="295"/>
      <c r="KW14" s="295"/>
      <c r="KX14" s="295"/>
      <c r="KY14" s="295"/>
      <c r="KZ14" s="295"/>
      <c r="LA14" s="295"/>
      <c r="LB14" s="295"/>
      <c r="LC14" s="295"/>
      <c r="LD14" s="295"/>
      <c r="LE14" s="295"/>
      <c r="LF14" s="295"/>
      <c r="LG14" s="295"/>
      <c r="LH14" s="295"/>
      <c r="LI14" s="295"/>
      <c r="LJ14" s="295"/>
      <c r="LK14" s="295"/>
      <c r="LL14" s="295"/>
      <c r="LM14" s="295"/>
      <c r="LN14" s="295"/>
      <c r="LO14" s="295"/>
      <c r="LP14" s="295"/>
      <c r="LQ14" s="295"/>
      <c r="LR14" s="295"/>
      <c r="LS14" s="295"/>
      <c r="LT14" s="295"/>
      <c r="LU14" s="295"/>
      <c r="LV14" s="295"/>
      <c r="LW14" s="295"/>
      <c r="LX14" s="295"/>
      <c r="LY14" s="295"/>
      <c r="LZ14" s="295"/>
      <c r="MA14" s="295"/>
      <c r="MB14" s="295"/>
      <c r="MC14" s="295"/>
      <c r="MD14" s="295"/>
      <c r="ME14" s="295"/>
      <c r="MF14" s="295"/>
      <c r="MG14" s="295"/>
      <c r="MH14" s="295"/>
    </row>
    <row r="15" spans="1:346" s="18" customFormat="1" x14ac:dyDescent="0.2">
      <c r="A15" s="295"/>
      <c r="B15" s="8" t="s">
        <v>878</v>
      </c>
      <c r="C15" s="10" t="str">
        <f t="shared" si="25"/>
        <v>50</v>
      </c>
      <c r="D15" s="9" t="str">
        <f t="shared" si="25"/>
        <v>+04,39</v>
      </c>
      <c r="E15" s="10" t="s">
        <v>896</v>
      </c>
      <c r="F15" s="9" t="s">
        <v>897</v>
      </c>
      <c r="G15" s="302">
        <v>61.86</v>
      </c>
      <c r="H15" s="303">
        <f t="shared" si="26"/>
        <v>1.9</v>
      </c>
      <c r="I15" s="303">
        <v>1.94</v>
      </c>
      <c r="J15" s="13">
        <f t="shared" si="0"/>
        <v>1.92</v>
      </c>
      <c r="K15" s="14">
        <v>710</v>
      </c>
      <c r="L15" s="15">
        <f t="shared" si="14"/>
        <v>61.86</v>
      </c>
      <c r="M15" s="16">
        <v>1.3</v>
      </c>
      <c r="N15" s="14" t="s">
        <v>134</v>
      </c>
      <c r="O15" s="17">
        <f t="shared" si="27"/>
        <v>371.15999999999997</v>
      </c>
      <c r="P15" s="13">
        <f t="shared" si="1"/>
        <v>0</v>
      </c>
      <c r="Q15" s="13">
        <f t="shared" si="2"/>
        <v>0</v>
      </c>
      <c r="R15" s="13">
        <f t="shared" si="3"/>
        <v>0</v>
      </c>
      <c r="S15" s="13">
        <f t="shared" si="4"/>
        <v>0</v>
      </c>
      <c r="T15" s="13">
        <f t="shared" si="5"/>
        <v>162.12268800000001</v>
      </c>
      <c r="U15" s="13">
        <f t="shared" si="15"/>
        <v>8.1061344000000002</v>
      </c>
      <c r="V15" s="13">
        <f t="shared" si="16"/>
        <v>154.01655360000001</v>
      </c>
      <c r="W15" s="13">
        <f t="shared" si="17"/>
        <v>0</v>
      </c>
      <c r="X15" s="13">
        <f t="shared" si="18"/>
        <v>0</v>
      </c>
      <c r="Y15" s="13">
        <f t="shared" si="6"/>
        <v>4.0530672000000001</v>
      </c>
      <c r="Z15" s="13">
        <f t="shared" si="7"/>
        <v>4.0530672000000001</v>
      </c>
      <c r="AA15" s="13">
        <f t="shared" si="8"/>
        <v>0</v>
      </c>
      <c r="AB15" s="13">
        <f t="shared" si="19"/>
        <v>0</v>
      </c>
      <c r="AC15" s="13">
        <f t="shared" si="20"/>
        <v>0</v>
      </c>
      <c r="AD15" s="13">
        <f t="shared" si="21"/>
        <v>72.387780191999994</v>
      </c>
      <c r="AE15" s="13">
        <f t="shared" si="22"/>
        <v>77.008276800000004</v>
      </c>
      <c r="AF15" s="13">
        <f t="shared" si="23"/>
        <v>0</v>
      </c>
      <c r="AG15" s="13">
        <f t="shared" si="24"/>
        <v>0</v>
      </c>
      <c r="AH15" s="13">
        <f t="shared" si="9"/>
        <v>4.6204966079999998</v>
      </c>
      <c r="AI15" s="13">
        <f t="shared" si="10"/>
        <v>80.418000000000006</v>
      </c>
      <c r="AJ15" s="13">
        <f t="shared" si="11"/>
        <v>162.12268800000001</v>
      </c>
      <c r="AK15" s="13">
        <f t="shared" si="12"/>
        <v>237.54239999999999</v>
      </c>
      <c r="AL15" s="13">
        <f t="shared" si="13"/>
        <v>0</v>
      </c>
      <c r="AM15" s="295"/>
      <c r="AN15" s="295"/>
      <c r="AO15" s="295"/>
      <c r="AP15" s="295"/>
      <c r="AQ15" s="295"/>
      <c r="AR15" s="295"/>
      <c r="AS15" s="295"/>
      <c r="AT15" s="295"/>
      <c r="AU15" s="295"/>
      <c r="AV15" s="295"/>
      <c r="AW15" s="295"/>
      <c r="AX15" s="295"/>
      <c r="AY15" s="295"/>
      <c r="AZ15" s="295"/>
      <c r="BA15" s="295"/>
      <c r="BB15" s="295"/>
      <c r="BC15" s="295"/>
      <c r="BD15" s="295"/>
      <c r="BE15" s="295"/>
      <c r="BF15" s="295"/>
      <c r="BG15" s="295"/>
      <c r="BH15" s="295"/>
      <c r="BI15" s="295"/>
      <c r="BJ15" s="295"/>
      <c r="BK15" s="295"/>
      <c r="BL15" s="295"/>
      <c r="BM15" s="295"/>
      <c r="BN15" s="295"/>
      <c r="BO15" s="295"/>
      <c r="BP15" s="295"/>
      <c r="BQ15" s="295"/>
      <c r="BR15" s="295"/>
      <c r="BS15" s="295"/>
      <c r="BT15" s="295"/>
      <c r="BU15" s="295"/>
      <c r="BV15" s="295"/>
      <c r="BW15" s="295"/>
      <c r="BX15" s="295"/>
      <c r="BY15" s="295"/>
      <c r="BZ15" s="295"/>
      <c r="CA15" s="295"/>
      <c r="CB15" s="295"/>
      <c r="CC15" s="295"/>
      <c r="CD15" s="295"/>
      <c r="CE15" s="295"/>
      <c r="CF15" s="295"/>
      <c r="CG15" s="295"/>
      <c r="CH15" s="295"/>
      <c r="CI15" s="295"/>
      <c r="CJ15" s="295"/>
      <c r="CK15" s="295"/>
      <c r="CL15" s="295"/>
      <c r="CM15" s="295"/>
      <c r="CN15" s="295"/>
      <c r="CO15" s="295"/>
      <c r="CP15" s="295"/>
      <c r="CQ15" s="295"/>
      <c r="CR15" s="295"/>
      <c r="CS15" s="295"/>
      <c r="CT15" s="295"/>
      <c r="CU15" s="295"/>
      <c r="CV15" s="295"/>
      <c r="CW15" s="295"/>
      <c r="CX15" s="295"/>
      <c r="CY15" s="295"/>
      <c r="CZ15" s="295"/>
      <c r="DA15" s="295"/>
      <c r="DB15" s="295"/>
      <c r="DC15" s="295"/>
      <c r="DD15" s="295"/>
      <c r="DE15" s="295"/>
      <c r="DF15" s="295"/>
      <c r="DG15" s="295"/>
      <c r="DH15" s="295"/>
      <c r="DI15" s="295"/>
      <c r="DJ15" s="295"/>
      <c r="DK15" s="295"/>
      <c r="DL15" s="295"/>
      <c r="DM15" s="295"/>
      <c r="DN15" s="295"/>
      <c r="DO15" s="295"/>
      <c r="DP15" s="295"/>
      <c r="DQ15" s="295"/>
      <c r="DR15" s="295"/>
      <c r="DS15" s="295"/>
      <c r="DT15" s="295"/>
      <c r="DU15" s="295"/>
      <c r="DV15" s="295"/>
      <c r="DW15" s="295"/>
      <c r="DX15" s="295"/>
      <c r="DY15" s="295"/>
      <c r="DZ15" s="295"/>
      <c r="EA15" s="295"/>
      <c r="EB15" s="295"/>
      <c r="EC15" s="295"/>
      <c r="ED15" s="295"/>
      <c r="EE15" s="295"/>
      <c r="EF15" s="295"/>
      <c r="EG15" s="295"/>
      <c r="EH15" s="295"/>
      <c r="EI15" s="295"/>
      <c r="EJ15" s="295"/>
      <c r="EK15" s="295"/>
      <c r="EL15" s="295"/>
      <c r="EM15" s="295"/>
      <c r="EN15" s="295"/>
      <c r="EO15" s="295"/>
      <c r="EP15" s="295"/>
      <c r="EQ15" s="295"/>
      <c r="ER15" s="295"/>
      <c r="ES15" s="295"/>
      <c r="ET15" s="295"/>
      <c r="EU15" s="295"/>
      <c r="EV15" s="295"/>
      <c r="EW15" s="295"/>
      <c r="EX15" s="295"/>
      <c r="EY15" s="295"/>
      <c r="EZ15" s="295"/>
      <c r="FA15" s="295"/>
      <c r="FB15" s="295"/>
      <c r="FC15" s="295"/>
      <c r="FD15" s="295"/>
      <c r="FE15" s="295"/>
      <c r="FF15" s="295"/>
      <c r="FG15" s="295"/>
      <c r="FH15" s="295"/>
      <c r="FI15" s="295"/>
      <c r="FJ15" s="295"/>
      <c r="FK15" s="295"/>
      <c r="FL15" s="295"/>
      <c r="FM15" s="295"/>
      <c r="FN15" s="295"/>
      <c r="FO15" s="295"/>
      <c r="FP15" s="295"/>
      <c r="FQ15" s="295"/>
      <c r="FR15" s="295"/>
      <c r="FS15" s="295"/>
      <c r="FT15" s="295"/>
      <c r="FU15" s="295"/>
      <c r="FV15" s="295"/>
      <c r="FW15" s="295"/>
      <c r="FX15" s="295"/>
      <c r="FY15" s="295"/>
      <c r="FZ15" s="295"/>
      <c r="GA15" s="295"/>
      <c r="GB15" s="295"/>
      <c r="GC15" s="295"/>
      <c r="GD15" s="295"/>
      <c r="GE15" s="295"/>
      <c r="GF15" s="295"/>
      <c r="GG15" s="295"/>
      <c r="GH15" s="295"/>
      <c r="GI15" s="295"/>
      <c r="GJ15" s="295"/>
      <c r="GK15" s="295"/>
      <c r="GL15" s="295"/>
      <c r="GM15" s="295"/>
      <c r="GN15" s="295"/>
      <c r="GO15" s="295"/>
      <c r="GP15" s="295"/>
      <c r="GQ15" s="295"/>
      <c r="GR15" s="295"/>
      <c r="GS15" s="295"/>
      <c r="GT15" s="295"/>
      <c r="GU15" s="295"/>
      <c r="GV15" s="295"/>
      <c r="GW15" s="295"/>
      <c r="GX15" s="295"/>
      <c r="GY15" s="295"/>
      <c r="GZ15" s="295"/>
      <c r="HA15" s="295"/>
      <c r="HB15" s="295"/>
      <c r="HC15" s="295"/>
      <c r="HD15" s="295"/>
      <c r="HE15" s="295"/>
      <c r="HF15" s="295"/>
      <c r="HG15" s="295"/>
      <c r="HH15" s="295"/>
      <c r="HI15" s="295"/>
      <c r="HJ15" s="295"/>
      <c r="HK15" s="295"/>
      <c r="HL15" s="295"/>
      <c r="HM15" s="295"/>
      <c r="HN15" s="295"/>
      <c r="HO15" s="295"/>
      <c r="HP15" s="295"/>
      <c r="HQ15" s="295"/>
      <c r="HR15" s="295"/>
      <c r="HS15" s="295"/>
      <c r="HT15" s="295"/>
      <c r="HU15" s="295"/>
      <c r="HV15" s="295"/>
      <c r="HW15" s="295"/>
      <c r="HX15" s="295"/>
      <c r="HY15" s="295"/>
      <c r="HZ15" s="295"/>
      <c r="IA15" s="295"/>
      <c r="IB15" s="295"/>
      <c r="IC15" s="295"/>
      <c r="ID15" s="295"/>
      <c r="IE15" s="295"/>
      <c r="IF15" s="295"/>
      <c r="IG15" s="295"/>
      <c r="IH15" s="295"/>
      <c r="II15" s="295"/>
      <c r="IJ15" s="295"/>
      <c r="IK15" s="295"/>
      <c r="IL15" s="295"/>
      <c r="IM15" s="295"/>
      <c r="IN15" s="295"/>
      <c r="IO15" s="295"/>
      <c r="IP15" s="295"/>
      <c r="IQ15" s="295"/>
      <c r="IR15" s="295"/>
      <c r="IS15" s="295"/>
      <c r="IT15" s="295"/>
      <c r="IU15" s="295"/>
      <c r="IV15" s="295"/>
      <c r="IW15" s="295"/>
      <c r="IX15" s="295"/>
      <c r="IY15" s="295"/>
      <c r="IZ15" s="295"/>
      <c r="JA15" s="295"/>
      <c r="JB15" s="295"/>
      <c r="JC15" s="295"/>
      <c r="JD15" s="295"/>
      <c r="JE15" s="295"/>
      <c r="JF15" s="295"/>
      <c r="JG15" s="295"/>
      <c r="JH15" s="295"/>
      <c r="JI15" s="295"/>
      <c r="JJ15" s="295"/>
      <c r="JK15" s="295"/>
      <c r="JL15" s="295"/>
      <c r="JM15" s="295"/>
      <c r="JN15" s="295"/>
      <c r="JO15" s="295"/>
      <c r="JP15" s="295"/>
      <c r="JQ15" s="295"/>
      <c r="JR15" s="295"/>
      <c r="JS15" s="295"/>
      <c r="JT15" s="295"/>
      <c r="JU15" s="295"/>
      <c r="JV15" s="295"/>
      <c r="JW15" s="295"/>
      <c r="JX15" s="295"/>
      <c r="JY15" s="295"/>
      <c r="JZ15" s="295"/>
      <c r="KA15" s="295"/>
      <c r="KB15" s="295"/>
      <c r="KC15" s="295"/>
      <c r="KD15" s="295"/>
      <c r="KE15" s="295"/>
      <c r="KF15" s="295"/>
      <c r="KG15" s="295"/>
      <c r="KH15" s="295"/>
      <c r="KI15" s="295"/>
      <c r="KJ15" s="295"/>
      <c r="KK15" s="295"/>
      <c r="KL15" s="295"/>
      <c r="KM15" s="295"/>
      <c r="KN15" s="295"/>
      <c r="KO15" s="295"/>
      <c r="KP15" s="295"/>
      <c r="KQ15" s="295"/>
      <c r="KR15" s="295"/>
      <c r="KS15" s="295"/>
      <c r="KT15" s="295"/>
      <c r="KU15" s="295"/>
      <c r="KV15" s="295"/>
      <c r="KW15" s="295"/>
      <c r="KX15" s="295"/>
      <c r="KY15" s="295"/>
      <c r="KZ15" s="295"/>
      <c r="LA15" s="295"/>
      <c r="LB15" s="295"/>
      <c r="LC15" s="295"/>
      <c r="LD15" s="295"/>
      <c r="LE15" s="295"/>
      <c r="LF15" s="295"/>
      <c r="LG15" s="295"/>
      <c r="LH15" s="295"/>
      <c r="LI15" s="295"/>
      <c r="LJ15" s="295"/>
      <c r="LK15" s="295"/>
      <c r="LL15" s="295"/>
      <c r="LM15" s="295"/>
      <c r="LN15" s="295"/>
      <c r="LO15" s="295"/>
      <c r="LP15" s="295"/>
      <c r="LQ15" s="295"/>
      <c r="LR15" s="295"/>
      <c r="LS15" s="295"/>
      <c r="LT15" s="295"/>
      <c r="LU15" s="295"/>
      <c r="LV15" s="295"/>
      <c r="LW15" s="295"/>
      <c r="LX15" s="295"/>
      <c r="LY15" s="295"/>
      <c r="LZ15" s="295"/>
      <c r="MA15" s="295"/>
      <c r="MB15" s="295"/>
      <c r="MC15" s="295"/>
      <c r="MD15" s="295"/>
      <c r="ME15" s="295"/>
      <c r="MF15" s="295"/>
      <c r="MG15" s="295"/>
      <c r="MH15" s="295"/>
    </row>
    <row r="16" spans="1:346" s="18" customFormat="1" x14ac:dyDescent="0.2">
      <c r="A16" s="295"/>
      <c r="B16" s="8" t="s">
        <v>878</v>
      </c>
      <c r="C16" s="10" t="str">
        <f t="shared" si="25"/>
        <v>53</v>
      </c>
      <c r="D16" s="9" t="str">
        <f t="shared" si="25"/>
        <v>+06,26</v>
      </c>
      <c r="E16" s="10" t="s">
        <v>898</v>
      </c>
      <c r="F16" s="9" t="s">
        <v>899</v>
      </c>
      <c r="G16" s="302">
        <v>32.729999999999997</v>
      </c>
      <c r="H16" s="303">
        <f t="shared" si="26"/>
        <v>1.94</v>
      </c>
      <c r="I16" s="303">
        <v>1.9</v>
      </c>
      <c r="J16" s="13">
        <f t="shared" si="0"/>
        <v>1.92</v>
      </c>
      <c r="K16" s="14">
        <v>710</v>
      </c>
      <c r="L16" s="15">
        <f t="shared" si="14"/>
        <v>32.729999999999997</v>
      </c>
      <c r="M16" s="16">
        <v>1.3</v>
      </c>
      <c r="N16" s="14" t="s">
        <v>134</v>
      </c>
      <c r="O16" s="17">
        <f t="shared" si="27"/>
        <v>196.38</v>
      </c>
      <c r="P16" s="13">
        <f t="shared" si="1"/>
        <v>0</v>
      </c>
      <c r="Q16" s="13">
        <f t="shared" si="2"/>
        <v>0</v>
      </c>
      <c r="R16" s="13">
        <f t="shared" si="3"/>
        <v>0</v>
      </c>
      <c r="S16" s="13">
        <f t="shared" si="4"/>
        <v>0</v>
      </c>
      <c r="T16" s="13">
        <f t="shared" si="5"/>
        <v>85.778784000000002</v>
      </c>
      <c r="U16" s="13">
        <f t="shared" si="15"/>
        <v>4.2889392000000006</v>
      </c>
      <c r="V16" s="13">
        <f t="shared" si="16"/>
        <v>81.4898448</v>
      </c>
      <c r="W16" s="13">
        <f t="shared" si="17"/>
        <v>0</v>
      </c>
      <c r="X16" s="13">
        <f t="shared" si="18"/>
        <v>0</v>
      </c>
      <c r="Y16" s="13">
        <f t="shared" si="6"/>
        <v>2.1444696000000003</v>
      </c>
      <c r="Z16" s="13">
        <f t="shared" si="7"/>
        <v>2.1444696000000003</v>
      </c>
      <c r="AA16" s="13">
        <f t="shared" si="8"/>
        <v>0</v>
      </c>
      <c r="AB16" s="13">
        <f t="shared" si="19"/>
        <v>0</v>
      </c>
      <c r="AC16" s="13">
        <f t="shared" si="20"/>
        <v>0</v>
      </c>
      <c r="AD16" s="13">
        <f t="shared" si="21"/>
        <v>38.300227055999997</v>
      </c>
      <c r="AE16" s="13">
        <f t="shared" si="22"/>
        <v>40.7449224</v>
      </c>
      <c r="AF16" s="13">
        <f t="shared" si="23"/>
        <v>0</v>
      </c>
      <c r="AG16" s="13">
        <f t="shared" si="24"/>
        <v>0</v>
      </c>
      <c r="AH16" s="13">
        <f t="shared" si="9"/>
        <v>2.4446953439999999</v>
      </c>
      <c r="AI16" s="13">
        <f t="shared" si="10"/>
        <v>42.548999999999999</v>
      </c>
      <c r="AJ16" s="13">
        <f t="shared" si="11"/>
        <v>85.778784000000002</v>
      </c>
      <c r="AK16" s="13">
        <f t="shared" si="12"/>
        <v>125.68319999999999</v>
      </c>
      <c r="AL16" s="13">
        <f t="shared" si="13"/>
        <v>0</v>
      </c>
      <c r="AM16" s="295"/>
      <c r="AN16" s="295"/>
      <c r="AO16" s="295"/>
      <c r="AP16" s="295"/>
      <c r="AQ16" s="295"/>
      <c r="AR16" s="295"/>
      <c r="AS16" s="295"/>
      <c r="AT16" s="295"/>
      <c r="AU16" s="295"/>
      <c r="AV16" s="295"/>
      <c r="AW16" s="295"/>
      <c r="AX16" s="295"/>
      <c r="AY16" s="295"/>
      <c r="AZ16" s="295"/>
      <c r="BA16" s="295"/>
      <c r="BB16" s="295"/>
      <c r="BC16" s="295"/>
      <c r="BD16" s="295"/>
      <c r="BE16" s="295"/>
      <c r="BF16" s="295"/>
      <c r="BG16" s="295"/>
      <c r="BH16" s="295"/>
      <c r="BI16" s="295"/>
      <c r="BJ16" s="295"/>
      <c r="BK16" s="295"/>
      <c r="BL16" s="295"/>
      <c r="BM16" s="295"/>
      <c r="BN16" s="295"/>
      <c r="BO16" s="295"/>
      <c r="BP16" s="295"/>
      <c r="BQ16" s="295"/>
      <c r="BR16" s="295"/>
      <c r="BS16" s="295"/>
      <c r="BT16" s="295"/>
      <c r="BU16" s="295"/>
      <c r="BV16" s="295"/>
      <c r="BW16" s="295"/>
      <c r="BX16" s="295"/>
      <c r="BY16" s="295"/>
      <c r="BZ16" s="295"/>
      <c r="CA16" s="295"/>
      <c r="CB16" s="295"/>
      <c r="CC16" s="295"/>
      <c r="CD16" s="295"/>
      <c r="CE16" s="295"/>
      <c r="CF16" s="295"/>
      <c r="CG16" s="295"/>
      <c r="CH16" s="295"/>
      <c r="CI16" s="295"/>
      <c r="CJ16" s="295"/>
      <c r="CK16" s="295"/>
      <c r="CL16" s="295"/>
      <c r="CM16" s="295"/>
      <c r="CN16" s="295"/>
      <c r="CO16" s="295"/>
      <c r="CP16" s="295"/>
      <c r="CQ16" s="295"/>
      <c r="CR16" s="295"/>
      <c r="CS16" s="295"/>
      <c r="CT16" s="295"/>
      <c r="CU16" s="295"/>
      <c r="CV16" s="295"/>
      <c r="CW16" s="295"/>
      <c r="CX16" s="295"/>
      <c r="CY16" s="295"/>
      <c r="CZ16" s="295"/>
      <c r="DA16" s="295"/>
      <c r="DB16" s="295"/>
      <c r="DC16" s="295"/>
      <c r="DD16" s="295"/>
      <c r="DE16" s="295"/>
      <c r="DF16" s="295"/>
      <c r="DG16" s="295"/>
      <c r="DH16" s="295"/>
      <c r="DI16" s="295"/>
      <c r="DJ16" s="295"/>
      <c r="DK16" s="295"/>
      <c r="DL16" s="295"/>
      <c r="DM16" s="295"/>
      <c r="DN16" s="295"/>
      <c r="DO16" s="295"/>
      <c r="DP16" s="295"/>
      <c r="DQ16" s="295"/>
      <c r="DR16" s="295"/>
      <c r="DS16" s="295"/>
      <c r="DT16" s="295"/>
      <c r="DU16" s="295"/>
      <c r="DV16" s="295"/>
      <c r="DW16" s="295"/>
      <c r="DX16" s="295"/>
      <c r="DY16" s="295"/>
      <c r="DZ16" s="295"/>
      <c r="EA16" s="295"/>
      <c r="EB16" s="295"/>
      <c r="EC16" s="295"/>
      <c r="ED16" s="295"/>
      <c r="EE16" s="295"/>
      <c r="EF16" s="295"/>
      <c r="EG16" s="295"/>
      <c r="EH16" s="295"/>
      <c r="EI16" s="295"/>
      <c r="EJ16" s="295"/>
      <c r="EK16" s="295"/>
      <c r="EL16" s="295"/>
      <c r="EM16" s="295"/>
      <c r="EN16" s="295"/>
      <c r="EO16" s="295"/>
      <c r="EP16" s="295"/>
      <c r="EQ16" s="295"/>
      <c r="ER16" s="295"/>
      <c r="ES16" s="295"/>
      <c r="ET16" s="295"/>
      <c r="EU16" s="295"/>
      <c r="EV16" s="295"/>
      <c r="EW16" s="295"/>
      <c r="EX16" s="295"/>
      <c r="EY16" s="295"/>
      <c r="EZ16" s="295"/>
      <c r="FA16" s="295"/>
      <c r="FB16" s="295"/>
      <c r="FC16" s="295"/>
      <c r="FD16" s="295"/>
      <c r="FE16" s="295"/>
      <c r="FF16" s="295"/>
      <c r="FG16" s="295"/>
      <c r="FH16" s="295"/>
      <c r="FI16" s="295"/>
      <c r="FJ16" s="295"/>
      <c r="FK16" s="295"/>
      <c r="FL16" s="295"/>
      <c r="FM16" s="295"/>
      <c r="FN16" s="295"/>
      <c r="FO16" s="295"/>
      <c r="FP16" s="295"/>
      <c r="FQ16" s="295"/>
      <c r="FR16" s="295"/>
      <c r="FS16" s="295"/>
      <c r="FT16" s="295"/>
      <c r="FU16" s="295"/>
      <c r="FV16" s="295"/>
      <c r="FW16" s="295"/>
      <c r="FX16" s="295"/>
      <c r="FY16" s="295"/>
      <c r="FZ16" s="295"/>
      <c r="GA16" s="295"/>
      <c r="GB16" s="295"/>
      <c r="GC16" s="295"/>
      <c r="GD16" s="295"/>
      <c r="GE16" s="295"/>
      <c r="GF16" s="295"/>
      <c r="GG16" s="295"/>
      <c r="GH16" s="295"/>
      <c r="GI16" s="295"/>
      <c r="GJ16" s="295"/>
      <c r="GK16" s="295"/>
      <c r="GL16" s="295"/>
      <c r="GM16" s="295"/>
      <c r="GN16" s="295"/>
      <c r="GO16" s="295"/>
      <c r="GP16" s="295"/>
      <c r="GQ16" s="295"/>
      <c r="GR16" s="295"/>
      <c r="GS16" s="295"/>
      <c r="GT16" s="295"/>
      <c r="GU16" s="295"/>
      <c r="GV16" s="295"/>
      <c r="GW16" s="295"/>
      <c r="GX16" s="295"/>
      <c r="GY16" s="295"/>
      <c r="GZ16" s="295"/>
      <c r="HA16" s="295"/>
      <c r="HB16" s="295"/>
      <c r="HC16" s="295"/>
      <c r="HD16" s="295"/>
      <c r="HE16" s="295"/>
      <c r="HF16" s="295"/>
      <c r="HG16" s="295"/>
      <c r="HH16" s="295"/>
      <c r="HI16" s="295"/>
      <c r="HJ16" s="295"/>
      <c r="HK16" s="295"/>
      <c r="HL16" s="295"/>
      <c r="HM16" s="295"/>
      <c r="HN16" s="295"/>
      <c r="HO16" s="295"/>
      <c r="HP16" s="295"/>
      <c r="HQ16" s="295"/>
      <c r="HR16" s="295"/>
      <c r="HS16" s="295"/>
      <c r="HT16" s="295"/>
      <c r="HU16" s="295"/>
      <c r="HV16" s="295"/>
      <c r="HW16" s="295"/>
      <c r="HX16" s="295"/>
      <c r="HY16" s="295"/>
      <c r="HZ16" s="295"/>
      <c r="IA16" s="295"/>
      <c r="IB16" s="295"/>
      <c r="IC16" s="295"/>
      <c r="ID16" s="295"/>
      <c r="IE16" s="295"/>
      <c r="IF16" s="295"/>
      <c r="IG16" s="295"/>
      <c r="IH16" s="295"/>
      <c r="II16" s="295"/>
      <c r="IJ16" s="295"/>
      <c r="IK16" s="295"/>
      <c r="IL16" s="295"/>
      <c r="IM16" s="295"/>
      <c r="IN16" s="295"/>
      <c r="IO16" s="295"/>
      <c r="IP16" s="295"/>
      <c r="IQ16" s="295"/>
      <c r="IR16" s="295"/>
      <c r="IS16" s="295"/>
      <c r="IT16" s="295"/>
      <c r="IU16" s="295"/>
      <c r="IV16" s="295"/>
      <c r="IW16" s="295"/>
      <c r="IX16" s="295"/>
      <c r="IY16" s="295"/>
      <c r="IZ16" s="295"/>
      <c r="JA16" s="295"/>
      <c r="JB16" s="295"/>
      <c r="JC16" s="295"/>
      <c r="JD16" s="295"/>
      <c r="JE16" s="295"/>
      <c r="JF16" s="295"/>
      <c r="JG16" s="295"/>
      <c r="JH16" s="295"/>
      <c r="JI16" s="295"/>
      <c r="JJ16" s="295"/>
      <c r="JK16" s="295"/>
      <c r="JL16" s="295"/>
      <c r="JM16" s="295"/>
      <c r="JN16" s="295"/>
      <c r="JO16" s="295"/>
      <c r="JP16" s="295"/>
      <c r="JQ16" s="295"/>
      <c r="JR16" s="295"/>
      <c r="JS16" s="295"/>
      <c r="JT16" s="295"/>
      <c r="JU16" s="295"/>
      <c r="JV16" s="295"/>
      <c r="JW16" s="295"/>
      <c r="JX16" s="295"/>
      <c r="JY16" s="295"/>
      <c r="JZ16" s="295"/>
      <c r="KA16" s="295"/>
      <c r="KB16" s="295"/>
      <c r="KC16" s="295"/>
      <c r="KD16" s="295"/>
      <c r="KE16" s="295"/>
      <c r="KF16" s="295"/>
      <c r="KG16" s="295"/>
      <c r="KH16" s="295"/>
      <c r="KI16" s="295"/>
      <c r="KJ16" s="295"/>
      <c r="KK16" s="295"/>
      <c r="KL16" s="295"/>
      <c r="KM16" s="295"/>
      <c r="KN16" s="295"/>
      <c r="KO16" s="295"/>
      <c r="KP16" s="295"/>
      <c r="KQ16" s="295"/>
      <c r="KR16" s="295"/>
      <c r="KS16" s="295"/>
      <c r="KT16" s="295"/>
      <c r="KU16" s="295"/>
      <c r="KV16" s="295"/>
      <c r="KW16" s="295"/>
      <c r="KX16" s="295"/>
      <c r="KY16" s="295"/>
      <c r="KZ16" s="295"/>
      <c r="LA16" s="295"/>
      <c r="LB16" s="295"/>
      <c r="LC16" s="295"/>
      <c r="LD16" s="295"/>
      <c r="LE16" s="295"/>
      <c r="LF16" s="295"/>
      <c r="LG16" s="295"/>
      <c r="LH16" s="295"/>
      <c r="LI16" s="295"/>
      <c r="LJ16" s="295"/>
      <c r="LK16" s="295"/>
      <c r="LL16" s="295"/>
      <c r="LM16" s="295"/>
      <c r="LN16" s="295"/>
      <c r="LO16" s="295"/>
      <c r="LP16" s="295"/>
      <c r="LQ16" s="295"/>
      <c r="LR16" s="295"/>
      <c r="LS16" s="295"/>
      <c r="LT16" s="295"/>
      <c r="LU16" s="295"/>
      <c r="LV16" s="295"/>
      <c r="LW16" s="295"/>
      <c r="LX16" s="295"/>
      <c r="LY16" s="295"/>
      <c r="LZ16" s="295"/>
      <c r="MA16" s="295"/>
      <c r="MB16" s="295"/>
      <c r="MC16" s="295"/>
      <c r="MD16" s="295"/>
      <c r="ME16" s="295"/>
      <c r="MF16" s="295"/>
      <c r="MG16" s="295"/>
      <c r="MH16" s="295"/>
    </row>
    <row r="17" spans="1:424" s="18" customFormat="1" x14ac:dyDescent="0.2">
      <c r="A17" s="295"/>
      <c r="B17" s="8" t="s">
        <v>878</v>
      </c>
      <c r="C17" s="10" t="str">
        <f t="shared" si="25"/>
        <v>54</v>
      </c>
      <c r="D17" s="9" t="str">
        <f t="shared" si="25"/>
        <v>+18,99</v>
      </c>
      <c r="E17" s="10" t="s">
        <v>900</v>
      </c>
      <c r="F17" s="9" t="s">
        <v>901</v>
      </c>
      <c r="G17" s="302">
        <v>64.87</v>
      </c>
      <c r="H17" s="303">
        <f t="shared" si="26"/>
        <v>1.9</v>
      </c>
      <c r="I17" s="303">
        <v>1.9</v>
      </c>
      <c r="J17" s="13">
        <f t="shared" si="0"/>
        <v>1.9</v>
      </c>
      <c r="K17" s="14">
        <v>710</v>
      </c>
      <c r="L17" s="15">
        <f t="shared" si="14"/>
        <v>64.87</v>
      </c>
      <c r="M17" s="16">
        <v>1.3</v>
      </c>
      <c r="N17" s="14" t="s">
        <v>134</v>
      </c>
      <c r="O17" s="17">
        <f t="shared" si="27"/>
        <v>389.22</v>
      </c>
      <c r="P17" s="13">
        <f t="shared" si="1"/>
        <v>0</v>
      </c>
      <c r="Q17" s="13">
        <f t="shared" si="2"/>
        <v>0</v>
      </c>
      <c r="R17" s="13">
        <f t="shared" si="3"/>
        <v>0</v>
      </c>
      <c r="S17" s="13">
        <f t="shared" si="4"/>
        <v>0</v>
      </c>
      <c r="T17" s="13">
        <f t="shared" si="5"/>
        <v>168.24034500000002</v>
      </c>
      <c r="U17" s="13">
        <f t="shared" si="15"/>
        <v>8.4120172500000017</v>
      </c>
      <c r="V17" s="13">
        <f t="shared" si="16"/>
        <v>159.82832775</v>
      </c>
      <c r="W17" s="13">
        <f t="shared" si="17"/>
        <v>0</v>
      </c>
      <c r="X17" s="13">
        <f t="shared" si="18"/>
        <v>0</v>
      </c>
      <c r="Y17" s="13">
        <f t="shared" si="6"/>
        <v>4.2060086250000008</v>
      </c>
      <c r="Z17" s="13">
        <f t="shared" si="7"/>
        <v>4.2060086250000008</v>
      </c>
      <c r="AA17" s="13">
        <f t="shared" si="8"/>
        <v>0</v>
      </c>
      <c r="AB17" s="13">
        <f t="shared" si="19"/>
        <v>0</v>
      </c>
      <c r="AC17" s="13">
        <f t="shared" si="20"/>
        <v>0</v>
      </c>
      <c r="AD17" s="13">
        <f t="shared" si="21"/>
        <v>75.119314042499994</v>
      </c>
      <c r="AE17" s="13">
        <f t="shared" si="22"/>
        <v>79.914163875</v>
      </c>
      <c r="AF17" s="13">
        <f t="shared" si="23"/>
        <v>0</v>
      </c>
      <c r="AG17" s="13">
        <f t="shared" si="24"/>
        <v>0</v>
      </c>
      <c r="AH17" s="13">
        <f t="shared" si="9"/>
        <v>4.7948498324999997</v>
      </c>
      <c r="AI17" s="13">
        <f t="shared" si="10"/>
        <v>84.331000000000003</v>
      </c>
      <c r="AJ17" s="13">
        <f t="shared" si="11"/>
        <v>168.24034500000002</v>
      </c>
      <c r="AK17" s="13">
        <f t="shared" si="12"/>
        <v>246.506</v>
      </c>
      <c r="AL17" s="13">
        <f t="shared" si="13"/>
        <v>0</v>
      </c>
      <c r="AM17" s="295"/>
      <c r="AN17" s="295"/>
      <c r="AO17" s="295"/>
      <c r="AP17" s="295"/>
      <c r="AQ17" s="295"/>
      <c r="AR17" s="295"/>
      <c r="AS17" s="295"/>
      <c r="AT17" s="295"/>
      <c r="AU17" s="295"/>
      <c r="AV17" s="295"/>
      <c r="AW17" s="295"/>
      <c r="AX17" s="295"/>
      <c r="AY17" s="295"/>
      <c r="AZ17" s="295"/>
      <c r="BA17" s="295"/>
      <c r="BB17" s="295"/>
      <c r="BC17" s="295"/>
      <c r="BD17" s="295"/>
      <c r="BE17" s="295"/>
      <c r="BF17" s="295"/>
      <c r="BG17" s="295"/>
      <c r="BH17" s="295"/>
      <c r="BI17" s="295"/>
      <c r="BJ17" s="295"/>
      <c r="BK17" s="295"/>
      <c r="BL17" s="295"/>
      <c r="BM17" s="295"/>
      <c r="BN17" s="295"/>
      <c r="BO17" s="295"/>
      <c r="BP17" s="295"/>
      <c r="BQ17" s="295"/>
      <c r="BR17" s="295"/>
      <c r="BS17" s="295"/>
      <c r="BT17" s="295"/>
      <c r="BU17" s="295"/>
      <c r="BV17" s="295"/>
      <c r="BW17" s="295"/>
      <c r="BX17" s="295"/>
      <c r="BY17" s="295"/>
      <c r="BZ17" s="295"/>
      <c r="CA17" s="295"/>
      <c r="CB17" s="295"/>
      <c r="CC17" s="295"/>
      <c r="CD17" s="295"/>
      <c r="CE17" s="295"/>
      <c r="CF17" s="295"/>
      <c r="CG17" s="295"/>
      <c r="CH17" s="295"/>
      <c r="CI17" s="295"/>
      <c r="CJ17" s="295"/>
      <c r="CK17" s="295"/>
      <c r="CL17" s="295"/>
      <c r="CM17" s="295"/>
      <c r="CN17" s="295"/>
      <c r="CO17" s="295"/>
      <c r="CP17" s="295"/>
      <c r="CQ17" s="295"/>
      <c r="CR17" s="295"/>
      <c r="CS17" s="295"/>
      <c r="CT17" s="295"/>
      <c r="CU17" s="295"/>
      <c r="CV17" s="295"/>
      <c r="CW17" s="295"/>
      <c r="CX17" s="295"/>
      <c r="CY17" s="295"/>
      <c r="CZ17" s="295"/>
      <c r="DA17" s="295"/>
      <c r="DB17" s="295"/>
      <c r="DC17" s="295"/>
      <c r="DD17" s="295"/>
      <c r="DE17" s="295"/>
      <c r="DF17" s="295"/>
      <c r="DG17" s="295"/>
      <c r="DH17" s="295"/>
      <c r="DI17" s="295"/>
      <c r="DJ17" s="295"/>
      <c r="DK17" s="295"/>
      <c r="DL17" s="295"/>
      <c r="DM17" s="295"/>
      <c r="DN17" s="295"/>
      <c r="DO17" s="295"/>
      <c r="DP17" s="295"/>
      <c r="DQ17" s="295"/>
      <c r="DR17" s="295"/>
      <c r="DS17" s="295"/>
      <c r="DT17" s="295"/>
      <c r="DU17" s="295"/>
      <c r="DV17" s="295"/>
      <c r="DW17" s="295"/>
      <c r="DX17" s="295"/>
      <c r="DY17" s="295"/>
      <c r="DZ17" s="295"/>
      <c r="EA17" s="295"/>
      <c r="EB17" s="295"/>
      <c r="EC17" s="295"/>
      <c r="ED17" s="295"/>
      <c r="EE17" s="295"/>
      <c r="EF17" s="295"/>
      <c r="EG17" s="295"/>
      <c r="EH17" s="295"/>
      <c r="EI17" s="295"/>
      <c r="EJ17" s="295"/>
      <c r="EK17" s="295"/>
      <c r="EL17" s="295"/>
      <c r="EM17" s="295"/>
      <c r="EN17" s="295"/>
      <c r="EO17" s="295"/>
      <c r="EP17" s="295"/>
      <c r="EQ17" s="295"/>
      <c r="ER17" s="295"/>
      <c r="ES17" s="295"/>
      <c r="ET17" s="295"/>
      <c r="EU17" s="295"/>
      <c r="EV17" s="295"/>
      <c r="EW17" s="295"/>
      <c r="EX17" s="295"/>
      <c r="EY17" s="295"/>
      <c r="EZ17" s="295"/>
      <c r="FA17" s="295"/>
      <c r="FB17" s="295"/>
      <c r="FC17" s="295"/>
      <c r="FD17" s="295"/>
      <c r="FE17" s="295"/>
      <c r="FF17" s="295"/>
      <c r="FG17" s="295"/>
      <c r="FH17" s="295"/>
      <c r="FI17" s="295"/>
      <c r="FJ17" s="295"/>
      <c r="FK17" s="295"/>
      <c r="FL17" s="295"/>
      <c r="FM17" s="295"/>
      <c r="FN17" s="295"/>
      <c r="FO17" s="295"/>
      <c r="FP17" s="295"/>
      <c r="FQ17" s="295"/>
      <c r="FR17" s="295"/>
      <c r="FS17" s="295"/>
      <c r="FT17" s="295"/>
      <c r="FU17" s="295"/>
      <c r="FV17" s="295"/>
      <c r="FW17" s="295"/>
      <c r="FX17" s="295"/>
      <c r="FY17" s="295"/>
      <c r="FZ17" s="295"/>
      <c r="GA17" s="295"/>
      <c r="GB17" s="295"/>
      <c r="GC17" s="295"/>
      <c r="GD17" s="295"/>
      <c r="GE17" s="295"/>
      <c r="GF17" s="295"/>
      <c r="GG17" s="295"/>
      <c r="GH17" s="295"/>
      <c r="GI17" s="295"/>
      <c r="GJ17" s="295"/>
      <c r="GK17" s="295"/>
      <c r="GL17" s="295"/>
      <c r="GM17" s="295"/>
      <c r="GN17" s="295"/>
      <c r="GO17" s="295"/>
      <c r="GP17" s="295"/>
      <c r="GQ17" s="295"/>
      <c r="GR17" s="295"/>
      <c r="GS17" s="295"/>
      <c r="GT17" s="295"/>
      <c r="GU17" s="295"/>
      <c r="GV17" s="295"/>
      <c r="GW17" s="295"/>
      <c r="GX17" s="295"/>
      <c r="GY17" s="295"/>
      <c r="GZ17" s="295"/>
      <c r="HA17" s="295"/>
      <c r="HB17" s="295"/>
      <c r="HC17" s="295"/>
      <c r="HD17" s="295"/>
      <c r="HE17" s="295"/>
      <c r="HF17" s="295"/>
      <c r="HG17" s="295"/>
      <c r="HH17" s="295"/>
      <c r="HI17" s="295"/>
      <c r="HJ17" s="295"/>
      <c r="HK17" s="295"/>
      <c r="HL17" s="295"/>
      <c r="HM17" s="295"/>
      <c r="HN17" s="295"/>
      <c r="HO17" s="295"/>
      <c r="HP17" s="295"/>
      <c r="HQ17" s="295"/>
      <c r="HR17" s="295"/>
      <c r="HS17" s="295"/>
      <c r="HT17" s="295"/>
      <c r="HU17" s="295"/>
      <c r="HV17" s="295"/>
      <c r="HW17" s="295"/>
      <c r="HX17" s="295"/>
      <c r="HY17" s="295"/>
      <c r="HZ17" s="295"/>
      <c r="IA17" s="295"/>
      <c r="IB17" s="295"/>
      <c r="IC17" s="295"/>
      <c r="ID17" s="295"/>
      <c r="IE17" s="295"/>
      <c r="IF17" s="295"/>
      <c r="IG17" s="295"/>
      <c r="IH17" s="295"/>
      <c r="II17" s="295"/>
      <c r="IJ17" s="295"/>
      <c r="IK17" s="295"/>
      <c r="IL17" s="295"/>
      <c r="IM17" s="295"/>
      <c r="IN17" s="295"/>
      <c r="IO17" s="295"/>
      <c r="IP17" s="295"/>
      <c r="IQ17" s="295"/>
      <c r="IR17" s="295"/>
      <c r="IS17" s="295"/>
      <c r="IT17" s="295"/>
      <c r="IU17" s="295"/>
      <c r="IV17" s="295"/>
      <c r="IW17" s="295"/>
      <c r="IX17" s="295"/>
      <c r="IY17" s="295"/>
      <c r="IZ17" s="295"/>
      <c r="JA17" s="295"/>
      <c r="JB17" s="295"/>
      <c r="JC17" s="295"/>
      <c r="JD17" s="295"/>
      <c r="JE17" s="295"/>
      <c r="JF17" s="295"/>
      <c r="JG17" s="295"/>
      <c r="JH17" s="295"/>
      <c r="JI17" s="295"/>
      <c r="JJ17" s="295"/>
      <c r="JK17" s="295"/>
      <c r="JL17" s="295"/>
      <c r="JM17" s="295"/>
      <c r="JN17" s="295"/>
      <c r="JO17" s="295"/>
      <c r="JP17" s="295"/>
      <c r="JQ17" s="295"/>
      <c r="JR17" s="295"/>
      <c r="JS17" s="295"/>
      <c r="JT17" s="295"/>
      <c r="JU17" s="295"/>
      <c r="JV17" s="295"/>
      <c r="JW17" s="295"/>
      <c r="JX17" s="295"/>
      <c r="JY17" s="295"/>
      <c r="JZ17" s="295"/>
      <c r="KA17" s="295"/>
      <c r="KB17" s="295"/>
      <c r="KC17" s="295"/>
      <c r="KD17" s="295"/>
      <c r="KE17" s="295"/>
      <c r="KF17" s="295"/>
      <c r="KG17" s="295"/>
      <c r="KH17" s="295"/>
      <c r="KI17" s="295"/>
      <c r="KJ17" s="295"/>
      <c r="KK17" s="295"/>
      <c r="KL17" s="295"/>
      <c r="KM17" s="295"/>
      <c r="KN17" s="295"/>
      <c r="KO17" s="295"/>
      <c r="KP17" s="295"/>
      <c r="KQ17" s="295"/>
      <c r="KR17" s="295"/>
      <c r="KS17" s="295"/>
      <c r="KT17" s="295"/>
      <c r="KU17" s="295"/>
      <c r="KV17" s="295"/>
      <c r="KW17" s="295"/>
      <c r="KX17" s="295"/>
      <c r="KY17" s="295"/>
      <c r="KZ17" s="295"/>
      <c r="LA17" s="295"/>
      <c r="LB17" s="295"/>
      <c r="LC17" s="295"/>
      <c r="LD17" s="295"/>
      <c r="LE17" s="295"/>
      <c r="LF17" s="295"/>
      <c r="LG17" s="295"/>
      <c r="LH17" s="295"/>
      <c r="LI17" s="295"/>
      <c r="LJ17" s="295"/>
      <c r="LK17" s="295"/>
      <c r="LL17" s="295"/>
      <c r="LM17" s="295"/>
      <c r="LN17" s="295"/>
      <c r="LO17" s="295"/>
      <c r="LP17" s="295"/>
      <c r="LQ17" s="295"/>
      <c r="LR17" s="295"/>
      <c r="LS17" s="295"/>
      <c r="LT17" s="295"/>
      <c r="LU17" s="295"/>
      <c r="LV17" s="295"/>
      <c r="LW17" s="295"/>
      <c r="LX17" s="295"/>
      <c r="LY17" s="295"/>
      <c r="LZ17" s="295"/>
      <c r="MA17" s="295"/>
      <c r="MB17" s="295"/>
      <c r="MC17" s="295"/>
      <c r="MD17" s="295"/>
      <c r="ME17" s="295"/>
      <c r="MF17" s="295"/>
      <c r="MG17" s="295"/>
      <c r="MH17" s="295"/>
    </row>
    <row r="18" spans="1:424" s="18" customFormat="1" x14ac:dyDescent="0.2">
      <c r="A18" s="295"/>
      <c r="B18" s="8" t="s">
        <v>878</v>
      </c>
      <c r="C18" s="10" t="str">
        <f t="shared" si="25"/>
        <v>58</v>
      </c>
      <c r="D18" s="9" t="str">
        <f t="shared" si="25"/>
        <v>+03,86</v>
      </c>
      <c r="E18" s="10" t="s">
        <v>902</v>
      </c>
      <c r="F18" s="9" t="s">
        <v>903</v>
      </c>
      <c r="G18" s="302">
        <v>98.11</v>
      </c>
      <c r="H18" s="303">
        <f t="shared" si="26"/>
        <v>1.9</v>
      </c>
      <c r="I18" s="303">
        <v>1.9</v>
      </c>
      <c r="J18" s="13">
        <f t="shared" si="0"/>
        <v>1.9</v>
      </c>
      <c r="K18" s="14">
        <v>710</v>
      </c>
      <c r="L18" s="15">
        <f t="shared" si="14"/>
        <v>98.11</v>
      </c>
      <c r="M18" s="16">
        <v>1.3</v>
      </c>
      <c r="N18" s="14" t="s">
        <v>134</v>
      </c>
      <c r="O18" s="17">
        <f t="shared" si="27"/>
        <v>588.66</v>
      </c>
      <c r="P18" s="13">
        <f t="shared" si="1"/>
        <v>0</v>
      </c>
      <c r="Q18" s="13">
        <f t="shared" si="2"/>
        <v>0</v>
      </c>
      <c r="R18" s="13">
        <f t="shared" si="3"/>
        <v>0</v>
      </c>
      <c r="S18" s="13">
        <f t="shared" si="4"/>
        <v>0</v>
      </c>
      <c r="T18" s="13">
        <f t="shared" si="5"/>
        <v>254.448285</v>
      </c>
      <c r="U18" s="13">
        <f t="shared" si="15"/>
        <v>12.72241425</v>
      </c>
      <c r="V18" s="13">
        <f t="shared" si="16"/>
        <v>241.72587074999998</v>
      </c>
      <c r="W18" s="13">
        <f t="shared" si="17"/>
        <v>0</v>
      </c>
      <c r="X18" s="13">
        <f t="shared" si="18"/>
        <v>0</v>
      </c>
      <c r="Y18" s="13">
        <f t="shared" si="6"/>
        <v>6.361207125</v>
      </c>
      <c r="Z18" s="13">
        <f t="shared" si="7"/>
        <v>6.361207125</v>
      </c>
      <c r="AA18" s="13">
        <f t="shared" si="8"/>
        <v>0</v>
      </c>
      <c r="AB18" s="13">
        <f t="shared" si="19"/>
        <v>0</v>
      </c>
      <c r="AC18" s="13">
        <f t="shared" si="20"/>
        <v>0</v>
      </c>
      <c r="AD18" s="13">
        <f t="shared" si="21"/>
        <v>113.61115925249999</v>
      </c>
      <c r="AE18" s="13">
        <f t="shared" si="22"/>
        <v>120.86293537499999</v>
      </c>
      <c r="AF18" s="13">
        <f t="shared" si="23"/>
        <v>0</v>
      </c>
      <c r="AG18" s="13">
        <f t="shared" si="24"/>
        <v>0</v>
      </c>
      <c r="AH18" s="13">
        <f t="shared" si="9"/>
        <v>7.251776122499999</v>
      </c>
      <c r="AI18" s="13">
        <f t="shared" si="10"/>
        <v>127.54300000000001</v>
      </c>
      <c r="AJ18" s="13">
        <f t="shared" si="11"/>
        <v>254.448285</v>
      </c>
      <c r="AK18" s="13">
        <f t="shared" si="12"/>
        <v>372.81799999999998</v>
      </c>
      <c r="AL18" s="13">
        <f t="shared" si="13"/>
        <v>0</v>
      </c>
      <c r="AM18" s="295"/>
      <c r="AN18" s="295"/>
      <c r="AO18" s="295"/>
      <c r="AP18" s="295"/>
      <c r="AQ18" s="295"/>
      <c r="AR18" s="295"/>
      <c r="AS18" s="295"/>
      <c r="AT18" s="295"/>
      <c r="AU18" s="295"/>
      <c r="AV18" s="295"/>
      <c r="AW18" s="295"/>
      <c r="AX18" s="295"/>
      <c r="AY18" s="295"/>
      <c r="AZ18" s="295"/>
      <c r="BA18" s="295"/>
      <c r="BB18" s="295"/>
      <c r="BC18" s="295"/>
      <c r="BD18" s="295"/>
      <c r="BE18" s="295"/>
      <c r="BF18" s="295"/>
      <c r="BG18" s="295"/>
      <c r="BH18" s="295"/>
      <c r="BI18" s="295"/>
      <c r="BJ18" s="295"/>
      <c r="BK18" s="295"/>
      <c r="BL18" s="295"/>
      <c r="BM18" s="295"/>
      <c r="BN18" s="295"/>
      <c r="BO18" s="295"/>
      <c r="BP18" s="295"/>
      <c r="BQ18" s="295"/>
      <c r="BR18" s="295"/>
      <c r="BS18" s="295"/>
      <c r="BT18" s="295"/>
      <c r="BU18" s="295"/>
      <c r="BV18" s="295"/>
      <c r="BW18" s="295"/>
      <c r="BX18" s="295"/>
      <c r="BY18" s="295"/>
      <c r="BZ18" s="295"/>
      <c r="CA18" s="295"/>
      <c r="CB18" s="295"/>
      <c r="CC18" s="295"/>
      <c r="CD18" s="295"/>
      <c r="CE18" s="295"/>
      <c r="CF18" s="295"/>
      <c r="CG18" s="295"/>
      <c r="CH18" s="295"/>
      <c r="CI18" s="295"/>
      <c r="CJ18" s="295"/>
      <c r="CK18" s="295"/>
      <c r="CL18" s="295"/>
      <c r="CM18" s="295"/>
      <c r="CN18" s="295"/>
      <c r="CO18" s="295"/>
      <c r="CP18" s="295"/>
      <c r="CQ18" s="295"/>
      <c r="CR18" s="295"/>
      <c r="CS18" s="295"/>
      <c r="CT18" s="295"/>
      <c r="CU18" s="295"/>
      <c r="CV18" s="295"/>
      <c r="CW18" s="295"/>
      <c r="CX18" s="295"/>
      <c r="CY18" s="295"/>
      <c r="CZ18" s="295"/>
      <c r="DA18" s="295"/>
      <c r="DB18" s="295"/>
      <c r="DC18" s="295"/>
      <c r="DD18" s="295"/>
      <c r="DE18" s="295"/>
      <c r="DF18" s="295"/>
      <c r="DG18" s="295"/>
      <c r="DH18" s="295"/>
      <c r="DI18" s="295"/>
      <c r="DJ18" s="295"/>
      <c r="DK18" s="295"/>
      <c r="DL18" s="295"/>
      <c r="DM18" s="295"/>
      <c r="DN18" s="295"/>
      <c r="DO18" s="295"/>
      <c r="DP18" s="295"/>
      <c r="DQ18" s="295"/>
      <c r="DR18" s="295"/>
      <c r="DS18" s="295"/>
      <c r="DT18" s="295"/>
      <c r="DU18" s="295"/>
      <c r="DV18" s="295"/>
      <c r="DW18" s="295"/>
      <c r="DX18" s="295"/>
      <c r="DY18" s="295"/>
      <c r="DZ18" s="295"/>
      <c r="EA18" s="295"/>
      <c r="EB18" s="295"/>
      <c r="EC18" s="295"/>
      <c r="ED18" s="295"/>
      <c r="EE18" s="295"/>
      <c r="EF18" s="295"/>
      <c r="EG18" s="295"/>
      <c r="EH18" s="295"/>
      <c r="EI18" s="295"/>
      <c r="EJ18" s="295"/>
      <c r="EK18" s="295"/>
      <c r="EL18" s="295"/>
      <c r="EM18" s="295"/>
      <c r="EN18" s="295"/>
      <c r="EO18" s="295"/>
      <c r="EP18" s="295"/>
      <c r="EQ18" s="295"/>
      <c r="ER18" s="295"/>
      <c r="ES18" s="295"/>
      <c r="ET18" s="295"/>
      <c r="EU18" s="295"/>
      <c r="EV18" s="295"/>
      <c r="EW18" s="295"/>
      <c r="EX18" s="295"/>
      <c r="EY18" s="295"/>
      <c r="EZ18" s="295"/>
      <c r="FA18" s="295"/>
      <c r="FB18" s="295"/>
      <c r="FC18" s="295"/>
      <c r="FD18" s="295"/>
      <c r="FE18" s="295"/>
      <c r="FF18" s="295"/>
      <c r="FG18" s="295"/>
      <c r="FH18" s="295"/>
      <c r="FI18" s="295"/>
      <c r="FJ18" s="295"/>
      <c r="FK18" s="295"/>
      <c r="FL18" s="295"/>
      <c r="FM18" s="295"/>
      <c r="FN18" s="295"/>
      <c r="FO18" s="295"/>
      <c r="FP18" s="295"/>
      <c r="FQ18" s="295"/>
      <c r="FR18" s="295"/>
      <c r="FS18" s="295"/>
      <c r="FT18" s="295"/>
      <c r="FU18" s="295"/>
      <c r="FV18" s="295"/>
      <c r="FW18" s="295"/>
      <c r="FX18" s="295"/>
      <c r="FY18" s="295"/>
      <c r="FZ18" s="295"/>
      <c r="GA18" s="295"/>
      <c r="GB18" s="295"/>
      <c r="GC18" s="295"/>
      <c r="GD18" s="295"/>
      <c r="GE18" s="295"/>
      <c r="GF18" s="295"/>
      <c r="GG18" s="295"/>
      <c r="GH18" s="295"/>
      <c r="GI18" s="295"/>
      <c r="GJ18" s="295"/>
      <c r="GK18" s="295"/>
      <c r="GL18" s="295"/>
      <c r="GM18" s="295"/>
      <c r="GN18" s="295"/>
      <c r="GO18" s="295"/>
      <c r="GP18" s="295"/>
      <c r="GQ18" s="295"/>
      <c r="GR18" s="295"/>
      <c r="GS18" s="295"/>
      <c r="GT18" s="295"/>
      <c r="GU18" s="295"/>
      <c r="GV18" s="295"/>
      <c r="GW18" s="295"/>
      <c r="GX18" s="295"/>
      <c r="GY18" s="295"/>
      <c r="GZ18" s="295"/>
      <c r="HA18" s="295"/>
      <c r="HB18" s="295"/>
      <c r="HC18" s="295"/>
      <c r="HD18" s="295"/>
      <c r="HE18" s="295"/>
      <c r="HF18" s="295"/>
      <c r="HG18" s="295"/>
      <c r="HH18" s="295"/>
      <c r="HI18" s="295"/>
      <c r="HJ18" s="295"/>
      <c r="HK18" s="295"/>
      <c r="HL18" s="295"/>
      <c r="HM18" s="295"/>
      <c r="HN18" s="295"/>
      <c r="HO18" s="295"/>
      <c r="HP18" s="295"/>
      <c r="HQ18" s="295"/>
      <c r="HR18" s="295"/>
      <c r="HS18" s="295"/>
      <c r="HT18" s="295"/>
      <c r="HU18" s="295"/>
      <c r="HV18" s="295"/>
      <c r="HW18" s="295"/>
      <c r="HX18" s="295"/>
      <c r="HY18" s="295"/>
      <c r="HZ18" s="295"/>
      <c r="IA18" s="295"/>
      <c r="IB18" s="295"/>
      <c r="IC18" s="295"/>
      <c r="ID18" s="295"/>
      <c r="IE18" s="295"/>
      <c r="IF18" s="295"/>
      <c r="IG18" s="295"/>
      <c r="IH18" s="295"/>
      <c r="II18" s="295"/>
      <c r="IJ18" s="295"/>
      <c r="IK18" s="295"/>
      <c r="IL18" s="295"/>
      <c r="IM18" s="295"/>
      <c r="IN18" s="295"/>
      <c r="IO18" s="295"/>
      <c r="IP18" s="295"/>
      <c r="IQ18" s="295"/>
      <c r="IR18" s="295"/>
      <c r="IS18" s="295"/>
      <c r="IT18" s="295"/>
      <c r="IU18" s="295"/>
      <c r="IV18" s="295"/>
      <c r="IW18" s="295"/>
      <c r="IX18" s="295"/>
      <c r="IY18" s="295"/>
      <c r="IZ18" s="295"/>
      <c r="JA18" s="295"/>
      <c r="JB18" s="295"/>
      <c r="JC18" s="295"/>
      <c r="JD18" s="295"/>
      <c r="JE18" s="295"/>
      <c r="JF18" s="295"/>
      <c r="JG18" s="295"/>
      <c r="JH18" s="295"/>
      <c r="JI18" s="295"/>
      <c r="JJ18" s="295"/>
      <c r="JK18" s="295"/>
      <c r="JL18" s="295"/>
      <c r="JM18" s="295"/>
      <c r="JN18" s="295"/>
      <c r="JO18" s="295"/>
      <c r="JP18" s="295"/>
      <c r="JQ18" s="295"/>
      <c r="JR18" s="295"/>
      <c r="JS18" s="295"/>
      <c r="JT18" s="295"/>
      <c r="JU18" s="295"/>
      <c r="JV18" s="295"/>
      <c r="JW18" s="295"/>
      <c r="JX18" s="295"/>
      <c r="JY18" s="295"/>
      <c r="JZ18" s="295"/>
      <c r="KA18" s="295"/>
      <c r="KB18" s="295"/>
      <c r="KC18" s="295"/>
      <c r="KD18" s="295"/>
      <c r="KE18" s="295"/>
      <c r="KF18" s="295"/>
      <c r="KG18" s="295"/>
      <c r="KH18" s="295"/>
      <c r="KI18" s="295"/>
      <c r="KJ18" s="295"/>
      <c r="KK18" s="295"/>
      <c r="KL18" s="295"/>
      <c r="KM18" s="295"/>
      <c r="KN18" s="295"/>
      <c r="KO18" s="295"/>
      <c r="KP18" s="295"/>
      <c r="KQ18" s="295"/>
      <c r="KR18" s="295"/>
      <c r="KS18" s="295"/>
      <c r="KT18" s="295"/>
      <c r="KU18" s="295"/>
      <c r="KV18" s="295"/>
      <c r="KW18" s="295"/>
      <c r="KX18" s="295"/>
      <c r="KY18" s="295"/>
      <c r="KZ18" s="295"/>
      <c r="LA18" s="295"/>
      <c r="LB18" s="295"/>
      <c r="LC18" s="295"/>
      <c r="LD18" s="295"/>
      <c r="LE18" s="295"/>
      <c r="LF18" s="295"/>
      <c r="LG18" s="295"/>
      <c r="LH18" s="295"/>
      <c r="LI18" s="295"/>
      <c r="LJ18" s="295"/>
      <c r="LK18" s="295"/>
      <c r="LL18" s="295"/>
      <c r="LM18" s="295"/>
      <c r="LN18" s="295"/>
      <c r="LO18" s="295"/>
      <c r="LP18" s="295"/>
      <c r="LQ18" s="295"/>
      <c r="LR18" s="295"/>
      <c r="LS18" s="295"/>
      <c r="LT18" s="295"/>
      <c r="LU18" s="295"/>
      <c r="LV18" s="295"/>
      <c r="LW18" s="295"/>
      <c r="LX18" s="295"/>
      <c r="LY18" s="295"/>
      <c r="LZ18" s="295"/>
      <c r="MA18" s="295"/>
      <c r="MB18" s="295"/>
      <c r="MC18" s="295"/>
      <c r="MD18" s="295"/>
      <c r="ME18" s="295"/>
      <c r="MF18" s="295"/>
      <c r="MG18" s="295"/>
      <c r="MH18" s="295"/>
    </row>
    <row r="19" spans="1:424" s="18" customFormat="1" x14ac:dyDescent="0.2">
      <c r="A19" s="295"/>
      <c r="B19" s="8" t="s">
        <v>878</v>
      </c>
      <c r="C19" s="10" t="str">
        <f t="shared" si="25"/>
        <v>63</v>
      </c>
      <c r="D19" s="9" t="str">
        <f t="shared" si="25"/>
        <v>+01,96</v>
      </c>
      <c r="E19" s="10" t="s">
        <v>904</v>
      </c>
      <c r="F19" s="9" t="s">
        <v>905</v>
      </c>
      <c r="G19" s="302">
        <v>33.15</v>
      </c>
      <c r="H19" s="303">
        <f t="shared" si="26"/>
        <v>1.9</v>
      </c>
      <c r="I19" s="303">
        <v>1.9</v>
      </c>
      <c r="J19" s="13">
        <f t="shared" si="0"/>
        <v>1.9</v>
      </c>
      <c r="K19" s="14">
        <v>710</v>
      </c>
      <c r="L19" s="15">
        <f t="shared" si="14"/>
        <v>33.15</v>
      </c>
      <c r="M19" s="16">
        <v>1.3</v>
      </c>
      <c r="N19" s="14" t="s">
        <v>134</v>
      </c>
      <c r="O19" s="17">
        <f t="shared" si="27"/>
        <v>198.89999999999998</v>
      </c>
      <c r="P19" s="13">
        <f t="shared" si="1"/>
        <v>0</v>
      </c>
      <c r="Q19" s="13">
        <f t="shared" si="2"/>
        <v>0</v>
      </c>
      <c r="R19" s="13">
        <f t="shared" si="3"/>
        <v>0</v>
      </c>
      <c r="S19" s="13">
        <f t="shared" si="4"/>
        <v>0</v>
      </c>
      <c r="T19" s="13">
        <f t="shared" si="5"/>
        <v>85.974525</v>
      </c>
      <c r="U19" s="13">
        <f t="shared" si="15"/>
        <v>4.2987262500000005</v>
      </c>
      <c r="V19" s="13">
        <f t="shared" si="16"/>
        <v>81.675798749999998</v>
      </c>
      <c r="W19" s="13">
        <f t="shared" si="17"/>
        <v>0</v>
      </c>
      <c r="X19" s="13">
        <f t="shared" si="18"/>
        <v>0</v>
      </c>
      <c r="Y19" s="13">
        <f t="shared" si="6"/>
        <v>2.1493631250000003</v>
      </c>
      <c r="Z19" s="13">
        <f t="shared" si="7"/>
        <v>2.1493631250000003</v>
      </c>
      <c r="AA19" s="13">
        <f t="shared" si="8"/>
        <v>0</v>
      </c>
      <c r="AB19" s="13">
        <f t="shared" si="19"/>
        <v>0</v>
      </c>
      <c r="AC19" s="13">
        <f t="shared" si="20"/>
        <v>0</v>
      </c>
      <c r="AD19" s="13">
        <f t="shared" si="21"/>
        <v>38.3876254125</v>
      </c>
      <c r="AE19" s="13">
        <f t="shared" si="22"/>
        <v>40.837899374999999</v>
      </c>
      <c r="AF19" s="13">
        <f t="shared" si="23"/>
        <v>0</v>
      </c>
      <c r="AG19" s="13">
        <f t="shared" si="24"/>
        <v>0</v>
      </c>
      <c r="AH19" s="13">
        <f t="shared" si="9"/>
        <v>2.4502739624999998</v>
      </c>
      <c r="AI19" s="13">
        <f t="shared" si="10"/>
        <v>43.094999999999999</v>
      </c>
      <c r="AJ19" s="13">
        <f t="shared" si="11"/>
        <v>85.974525</v>
      </c>
      <c r="AK19" s="13">
        <f t="shared" si="12"/>
        <v>125.96999999999998</v>
      </c>
      <c r="AL19" s="13">
        <f t="shared" si="13"/>
        <v>0</v>
      </c>
      <c r="AM19" s="295"/>
      <c r="AN19" s="295"/>
      <c r="AO19" s="295"/>
      <c r="AP19" s="295"/>
      <c r="AQ19" s="295"/>
      <c r="AR19" s="295"/>
      <c r="AS19" s="295"/>
      <c r="AT19" s="295"/>
      <c r="AU19" s="295"/>
      <c r="AV19" s="295"/>
      <c r="AW19" s="295"/>
      <c r="AX19" s="295"/>
      <c r="AY19" s="295"/>
      <c r="AZ19" s="295"/>
      <c r="BA19" s="295"/>
      <c r="BB19" s="295"/>
      <c r="BC19" s="295"/>
      <c r="BD19" s="295"/>
      <c r="BE19" s="295"/>
      <c r="BF19" s="295"/>
      <c r="BG19" s="295"/>
      <c r="BH19" s="295"/>
      <c r="BI19" s="295"/>
      <c r="BJ19" s="295"/>
      <c r="BK19" s="295"/>
      <c r="BL19" s="295"/>
      <c r="BM19" s="295"/>
      <c r="BN19" s="295"/>
      <c r="BO19" s="295"/>
      <c r="BP19" s="295"/>
      <c r="BQ19" s="295"/>
      <c r="BR19" s="295"/>
      <c r="BS19" s="295"/>
      <c r="BT19" s="295"/>
      <c r="BU19" s="295"/>
      <c r="BV19" s="295"/>
      <c r="BW19" s="295"/>
      <c r="BX19" s="295"/>
      <c r="BY19" s="295"/>
      <c r="BZ19" s="295"/>
      <c r="CA19" s="295"/>
      <c r="CB19" s="295"/>
      <c r="CC19" s="295"/>
      <c r="CD19" s="295"/>
      <c r="CE19" s="295"/>
      <c r="CF19" s="295"/>
      <c r="CG19" s="295"/>
      <c r="CH19" s="295"/>
      <c r="CI19" s="295"/>
      <c r="CJ19" s="295"/>
      <c r="CK19" s="295"/>
      <c r="CL19" s="295"/>
      <c r="CM19" s="295"/>
      <c r="CN19" s="295"/>
      <c r="CO19" s="295"/>
      <c r="CP19" s="295"/>
      <c r="CQ19" s="295"/>
      <c r="CR19" s="295"/>
      <c r="CS19" s="295"/>
      <c r="CT19" s="295"/>
      <c r="CU19" s="295"/>
      <c r="CV19" s="295"/>
      <c r="CW19" s="295"/>
      <c r="CX19" s="295"/>
      <c r="CY19" s="295"/>
      <c r="CZ19" s="295"/>
      <c r="DA19" s="295"/>
      <c r="DB19" s="295"/>
      <c r="DC19" s="295"/>
      <c r="DD19" s="295"/>
      <c r="DE19" s="295"/>
      <c r="DF19" s="295"/>
      <c r="DG19" s="295"/>
      <c r="DH19" s="295"/>
      <c r="DI19" s="295"/>
      <c r="DJ19" s="295"/>
      <c r="DK19" s="295"/>
      <c r="DL19" s="295"/>
      <c r="DM19" s="295"/>
      <c r="DN19" s="295"/>
      <c r="DO19" s="295"/>
      <c r="DP19" s="295"/>
      <c r="DQ19" s="295"/>
      <c r="DR19" s="295"/>
      <c r="DS19" s="295"/>
      <c r="DT19" s="295"/>
      <c r="DU19" s="295"/>
      <c r="DV19" s="295"/>
      <c r="DW19" s="295"/>
      <c r="DX19" s="295"/>
      <c r="DY19" s="295"/>
      <c r="DZ19" s="295"/>
      <c r="EA19" s="295"/>
      <c r="EB19" s="295"/>
      <c r="EC19" s="295"/>
      <c r="ED19" s="295"/>
      <c r="EE19" s="295"/>
      <c r="EF19" s="295"/>
      <c r="EG19" s="295"/>
      <c r="EH19" s="295"/>
      <c r="EI19" s="295"/>
      <c r="EJ19" s="295"/>
      <c r="EK19" s="295"/>
      <c r="EL19" s="295"/>
      <c r="EM19" s="295"/>
      <c r="EN19" s="295"/>
      <c r="EO19" s="295"/>
      <c r="EP19" s="295"/>
      <c r="EQ19" s="295"/>
      <c r="ER19" s="295"/>
      <c r="ES19" s="295"/>
      <c r="ET19" s="295"/>
      <c r="EU19" s="295"/>
      <c r="EV19" s="295"/>
      <c r="EW19" s="295"/>
      <c r="EX19" s="295"/>
      <c r="EY19" s="295"/>
      <c r="EZ19" s="295"/>
      <c r="FA19" s="295"/>
      <c r="FB19" s="295"/>
      <c r="FC19" s="295"/>
      <c r="FD19" s="295"/>
      <c r="FE19" s="295"/>
      <c r="FF19" s="295"/>
      <c r="FG19" s="295"/>
      <c r="FH19" s="295"/>
      <c r="FI19" s="295"/>
      <c r="FJ19" s="295"/>
      <c r="FK19" s="295"/>
      <c r="FL19" s="295"/>
      <c r="FM19" s="295"/>
      <c r="FN19" s="295"/>
      <c r="FO19" s="295"/>
      <c r="FP19" s="295"/>
      <c r="FQ19" s="295"/>
      <c r="FR19" s="295"/>
      <c r="FS19" s="295"/>
      <c r="FT19" s="295"/>
      <c r="FU19" s="295"/>
      <c r="FV19" s="295"/>
      <c r="FW19" s="295"/>
      <c r="FX19" s="295"/>
      <c r="FY19" s="295"/>
      <c r="FZ19" s="295"/>
      <c r="GA19" s="295"/>
      <c r="GB19" s="295"/>
      <c r="GC19" s="295"/>
      <c r="GD19" s="295"/>
      <c r="GE19" s="295"/>
      <c r="GF19" s="295"/>
      <c r="GG19" s="295"/>
      <c r="GH19" s="295"/>
      <c r="GI19" s="295"/>
      <c r="GJ19" s="295"/>
      <c r="GK19" s="295"/>
      <c r="GL19" s="295"/>
      <c r="GM19" s="295"/>
      <c r="GN19" s="295"/>
      <c r="GO19" s="295"/>
      <c r="GP19" s="295"/>
      <c r="GQ19" s="295"/>
      <c r="GR19" s="295"/>
      <c r="GS19" s="295"/>
      <c r="GT19" s="295"/>
      <c r="GU19" s="295"/>
      <c r="GV19" s="295"/>
      <c r="GW19" s="295"/>
      <c r="GX19" s="295"/>
      <c r="GY19" s="295"/>
      <c r="GZ19" s="295"/>
      <c r="HA19" s="295"/>
      <c r="HB19" s="295"/>
      <c r="HC19" s="295"/>
      <c r="HD19" s="295"/>
      <c r="HE19" s="295"/>
      <c r="HF19" s="295"/>
      <c r="HG19" s="295"/>
      <c r="HH19" s="295"/>
      <c r="HI19" s="295"/>
      <c r="HJ19" s="295"/>
      <c r="HK19" s="295"/>
      <c r="HL19" s="295"/>
      <c r="HM19" s="295"/>
      <c r="HN19" s="295"/>
      <c r="HO19" s="295"/>
      <c r="HP19" s="295"/>
      <c r="HQ19" s="295"/>
      <c r="HR19" s="295"/>
      <c r="HS19" s="295"/>
      <c r="HT19" s="295"/>
      <c r="HU19" s="295"/>
      <c r="HV19" s="295"/>
      <c r="HW19" s="295"/>
      <c r="HX19" s="295"/>
      <c r="HY19" s="295"/>
      <c r="HZ19" s="295"/>
      <c r="IA19" s="295"/>
      <c r="IB19" s="295"/>
      <c r="IC19" s="295"/>
      <c r="ID19" s="295"/>
      <c r="IE19" s="295"/>
      <c r="IF19" s="295"/>
      <c r="IG19" s="295"/>
      <c r="IH19" s="295"/>
      <c r="II19" s="295"/>
      <c r="IJ19" s="295"/>
      <c r="IK19" s="295"/>
      <c r="IL19" s="295"/>
      <c r="IM19" s="295"/>
      <c r="IN19" s="295"/>
      <c r="IO19" s="295"/>
      <c r="IP19" s="295"/>
      <c r="IQ19" s="295"/>
      <c r="IR19" s="295"/>
      <c r="IS19" s="295"/>
      <c r="IT19" s="295"/>
      <c r="IU19" s="295"/>
      <c r="IV19" s="295"/>
      <c r="IW19" s="295"/>
      <c r="IX19" s="295"/>
      <c r="IY19" s="295"/>
      <c r="IZ19" s="295"/>
      <c r="JA19" s="295"/>
      <c r="JB19" s="295"/>
      <c r="JC19" s="295"/>
      <c r="JD19" s="295"/>
      <c r="JE19" s="295"/>
      <c r="JF19" s="295"/>
      <c r="JG19" s="295"/>
      <c r="JH19" s="295"/>
      <c r="JI19" s="295"/>
      <c r="JJ19" s="295"/>
      <c r="JK19" s="295"/>
      <c r="JL19" s="295"/>
      <c r="JM19" s="295"/>
      <c r="JN19" s="295"/>
      <c r="JO19" s="295"/>
      <c r="JP19" s="295"/>
      <c r="JQ19" s="295"/>
      <c r="JR19" s="295"/>
      <c r="JS19" s="295"/>
      <c r="JT19" s="295"/>
      <c r="JU19" s="295"/>
      <c r="JV19" s="295"/>
      <c r="JW19" s="295"/>
      <c r="JX19" s="295"/>
      <c r="JY19" s="295"/>
      <c r="JZ19" s="295"/>
      <c r="KA19" s="295"/>
      <c r="KB19" s="295"/>
      <c r="KC19" s="295"/>
      <c r="KD19" s="295"/>
      <c r="KE19" s="295"/>
      <c r="KF19" s="295"/>
      <c r="KG19" s="295"/>
      <c r="KH19" s="295"/>
      <c r="KI19" s="295"/>
      <c r="KJ19" s="295"/>
      <c r="KK19" s="295"/>
      <c r="KL19" s="295"/>
      <c r="KM19" s="295"/>
      <c r="KN19" s="295"/>
      <c r="KO19" s="295"/>
      <c r="KP19" s="295"/>
      <c r="KQ19" s="295"/>
      <c r="KR19" s="295"/>
      <c r="KS19" s="295"/>
      <c r="KT19" s="295"/>
      <c r="KU19" s="295"/>
      <c r="KV19" s="295"/>
      <c r="KW19" s="295"/>
      <c r="KX19" s="295"/>
      <c r="KY19" s="295"/>
      <c r="KZ19" s="295"/>
      <c r="LA19" s="295"/>
      <c r="LB19" s="295"/>
      <c r="LC19" s="295"/>
      <c r="LD19" s="295"/>
      <c r="LE19" s="295"/>
      <c r="LF19" s="295"/>
      <c r="LG19" s="295"/>
      <c r="LH19" s="295"/>
      <c r="LI19" s="295"/>
      <c r="LJ19" s="295"/>
      <c r="LK19" s="295"/>
      <c r="LL19" s="295"/>
      <c r="LM19" s="295"/>
      <c r="LN19" s="295"/>
      <c r="LO19" s="295"/>
      <c r="LP19" s="295"/>
      <c r="LQ19" s="295"/>
      <c r="LR19" s="295"/>
      <c r="LS19" s="295"/>
      <c r="LT19" s="295"/>
      <c r="LU19" s="295"/>
      <c r="LV19" s="295"/>
      <c r="LW19" s="295"/>
      <c r="LX19" s="295"/>
      <c r="LY19" s="295"/>
      <c r="LZ19" s="295"/>
      <c r="MA19" s="295"/>
      <c r="MB19" s="295"/>
      <c r="MC19" s="295"/>
      <c r="MD19" s="295"/>
      <c r="ME19" s="295"/>
      <c r="MF19" s="295"/>
      <c r="MG19" s="295"/>
      <c r="MH19" s="295"/>
    </row>
    <row r="20" spans="1:424" s="18" customFormat="1" x14ac:dyDescent="0.2">
      <c r="A20" s="295"/>
      <c r="B20" s="8" t="s">
        <v>878</v>
      </c>
      <c r="C20" s="10" t="str">
        <f t="shared" si="25"/>
        <v>64</v>
      </c>
      <c r="D20" s="9" t="str">
        <f t="shared" si="25"/>
        <v>+15,12</v>
      </c>
      <c r="E20" s="10" t="s">
        <v>906</v>
      </c>
      <c r="F20" s="9" t="s">
        <v>907</v>
      </c>
      <c r="G20" s="302">
        <v>76</v>
      </c>
      <c r="H20" s="303">
        <f t="shared" si="26"/>
        <v>1.9</v>
      </c>
      <c r="I20" s="303">
        <v>1.9</v>
      </c>
      <c r="J20" s="13">
        <f t="shared" si="0"/>
        <v>1.9</v>
      </c>
      <c r="K20" s="14">
        <v>710</v>
      </c>
      <c r="L20" s="15">
        <f t="shared" si="14"/>
        <v>76</v>
      </c>
      <c r="M20" s="16">
        <v>1.3</v>
      </c>
      <c r="N20" s="14" t="s">
        <v>134</v>
      </c>
      <c r="O20" s="17">
        <f t="shared" si="27"/>
        <v>456</v>
      </c>
      <c r="P20" s="13">
        <f t="shared" si="1"/>
        <v>0</v>
      </c>
      <c r="Q20" s="13">
        <f t="shared" si="2"/>
        <v>0</v>
      </c>
      <c r="R20" s="13">
        <f t="shared" si="3"/>
        <v>0</v>
      </c>
      <c r="S20" s="13">
        <f t="shared" si="4"/>
        <v>0</v>
      </c>
      <c r="T20" s="13">
        <f t="shared" si="5"/>
        <v>197.10600000000002</v>
      </c>
      <c r="U20" s="13">
        <f t="shared" si="15"/>
        <v>9.8553000000000015</v>
      </c>
      <c r="V20" s="13">
        <f t="shared" si="16"/>
        <v>187.25070000000002</v>
      </c>
      <c r="W20" s="13">
        <f t="shared" si="17"/>
        <v>0</v>
      </c>
      <c r="X20" s="13">
        <f t="shared" si="18"/>
        <v>0</v>
      </c>
      <c r="Y20" s="13">
        <f t="shared" si="6"/>
        <v>4.9276500000000008</v>
      </c>
      <c r="Z20" s="13">
        <f t="shared" si="7"/>
        <v>4.9276500000000008</v>
      </c>
      <c r="AA20" s="13">
        <f t="shared" si="8"/>
        <v>0</v>
      </c>
      <c r="AB20" s="13">
        <f t="shared" si="19"/>
        <v>0</v>
      </c>
      <c r="AC20" s="13">
        <f t="shared" si="20"/>
        <v>0</v>
      </c>
      <c r="AD20" s="13">
        <f t="shared" si="21"/>
        <v>88.007829000000001</v>
      </c>
      <c r="AE20" s="13">
        <f t="shared" si="22"/>
        <v>93.625350000000012</v>
      </c>
      <c r="AF20" s="13">
        <f t="shared" si="23"/>
        <v>0</v>
      </c>
      <c r="AG20" s="13">
        <f t="shared" si="24"/>
        <v>0</v>
      </c>
      <c r="AH20" s="13">
        <f t="shared" si="9"/>
        <v>5.6175210000000009</v>
      </c>
      <c r="AI20" s="13">
        <f t="shared" si="10"/>
        <v>98.8</v>
      </c>
      <c r="AJ20" s="13">
        <f t="shared" si="11"/>
        <v>197.10600000000002</v>
      </c>
      <c r="AK20" s="13">
        <f t="shared" si="12"/>
        <v>288.8</v>
      </c>
      <c r="AL20" s="13">
        <f t="shared" si="13"/>
        <v>0</v>
      </c>
      <c r="AM20" s="295"/>
      <c r="AN20" s="295"/>
      <c r="AO20" s="295"/>
      <c r="AP20" s="295"/>
      <c r="AQ20" s="295"/>
      <c r="AR20" s="295"/>
      <c r="AS20" s="295"/>
      <c r="AT20" s="295"/>
      <c r="AU20" s="295"/>
      <c r="AV20" s="295"/>
      <c r="AW20" s="295"/>
      <c r="AX20" s="295"/>
      <c r="AY20" s="295"/>
      <c r="AZ20" s="295"/>
      <c r="BA20" s="295"/>
      <c r="BB20" s="295"/>
      <c r="BC20" s="295"/>
      <c r="BD20" s="295"/>
      <c r="BE20" s="295"/>
      <c r="BF20" s="295"/>
      <c r="BG20" s="295"/>
      <c r="BH20" s="295"/>
      <c r="BI20" s="295"/>
      <c r="BJ20" s="295"/>
      <c r="BK20" s="295"/>
      <c r="BL20" s="295"/>
      <c r="BM20" s="295"/>
      <c r="BN20" s="295"/>
      <c r="BO20" s="295"/>
      <c r="BP20" s="295"/>
      <c r="BQ20" s="295"/>
      <c r="BR20" s="295"/>
      <c r="BS20" s="295"/>
      <c r="BT20" s="295"/>
      <c r="BU20" s="295"/>
      <c r="BV20" s="295"/>
      <c r="BW20" s="295"/>
      <c r="BX20" s="295"/>
      <c r="BY20" s="295"/>
      <c r="BZ20" s="295"/>
      <c r="CA20" s="295"/>
      <c r="CB20" s="295"/>
      <c r="CC20" s="295"/>
      <c r="CD20" s="295"/>
      <c r="CE20" s="295"/>
      <c r="CF20" s="295"/>
      <c r="CG20" s="295"/>
      <c r="CH20" s="295"/>
      <c r="CI20" s="295"/>
      <c r="CJ20" s="295"/>
      <c r="CK20" s="295"/>
      <c r="CL20" s="295"/>
      <c r="CM20" s="295"/>
      <c r="CN20" s="295"/>
      <c r="CO20" s="295"/>
      <c r="CP20" s="295"/>
      <c r="CQ20" s="295"/>
      <c r="CR20" s="295"/>
      <c r="CS20" s="295"/>
      <c r="CT20" s="295"/>
      <c r="CU20" s="295"/>
      <c r="CV20" s="295"/>
      <c r="CW20" s="295"/>
      <c r="CX20" s="295"/>
      <c r="CY20" s="295"/>
      <c r="CZ20" s="295"/>
      <c r="DA20" s="295"/>
      <c r="DB20" s="295"/>
      <c r="DC20" s="295"/>
      <c r="DD20" s="295"/>
      <c r="DE20" s="295"/>
      <c r="DF20" s="295"/>
      <c r="DG20" s="295"/>
      <c r="DH20" s="295"/>
      <c r="DI20" s="295"/>
      <c r="DJ20" s="295"/>
      <c r="DK20" s="295"/>
      <c r="DL20" s="295"/>
      <c r="DM20" s="295"/>
      <c r="DN20" s="295"/>
      <c r="DO20" s="295"/>
      <c r="DP20" s="295"/>
      <c r="DQ20" s="295"/>
      <c r="DR20" s="295"/>
      <c r="DS20" s="295"/>
      <c r="DT20" s="295"/>
      <c r="DU20" s="295"/>
      <c r="DV20" s="295"/>
      <c r="DW20" s="295"/>
      <c r="DX20" s="295"/>
      <c r="DY20" s="295"/>
      <c r="DZ20" s="295"/>
      <c r="EA20" s="295"/>
      <c r="EB20" s="295"/>
      <c r="EC20" s="295"/>
      <c r="ED20" s="295"/>
      <c r="EE20" s="295"/>
      <c r="EF20" s="295"/>
      <c r="EG20" s="295"/>
      <c r="EH20" s="295"/>
      <c r="EI20" s="295"/>
      <c r="EJ20" s="295"/>
      <c r="EK20" s="295"/>
      <c r="EL20" s="295"/>
      <c r="EM20" s="295"/>
      <c r="EN20" s="295"/>
      <c r="EO20" s="295"/>
      <c r="EP20" s="295"/>
      <c r="EQ20" s="295"/>
      <c r="ER20" s="295"/>
      <c r="ES20" s="295"/>
      <c r="ET20" s="295"/>
      <c r="EU20" s="295"/>
      <c r="EV20" s="295"/>
      <c r="EW20" s="295"/>
      <c r="EX20" s="295"/>
      <c r="EY20" s="295"/>
      <c r="EZ20" s="295"/>
      <c r="FA20" s="295"/>
      <c r="FB20" s="295"/>
      <c r="FC20" s="295"/>
      <c r="FD20" s="295"/>
      <c r="FE20" s="295"/>
      <c r="FF20" s="295"/>
      <c r="FG20" s="295"/>
      <c r="FH20" s="295"/>
      <c r="FI20" s="295"/>
      <c r="FJ20" s="295"/>
      <c r="FK20" s="295"/>
      <c r="FL20" s="295"/>
      <c r="FM20" s="295"/>
      <c r="FN20" s="295"/>
      <c r="FO20" s="295"/>
      <c r="FP20" s="295"/>
      <c r="FQ20" s="295"/>
      <c r="FR20" s="295"/>
      <c r="FS20" s="295"/>
      <c r="FT20" s="295"/>
      <c r="FU20" s="295"/>
      <c r="FV20" s="295"/>
      <c r="FW20" s="295"/>
      <c r="FX20" s="295"/>
      <c r="FY20" s="295"/>
      <c r="FZ20" s="295"/>
      <c r="GA20" s="295"/>
      <c r="GB20" s="295"/>
      <c r="GC20" s="295"/>
      <c r="GD20" s="295"/>
      <c r="GE20" s="295"/>
      <c r="GF20" s="295"/>
      <c r="GG20" s="295"/>
      <c r="GH20" s="295"/>
      <c r="GI20" s="295"/>
      <c r="GJ20" s="295"/>
      <c r="GK20" s="295"/>
      <c r="GL20" s="295"/>
      <c r="GM20" s="295"/>
      <c r="GN20" s="295"/>
      <c r="GO20" s="295"/>
      <c r="GP20" s="295"/>
      <c r="GQ20" s="295"/>
      <c r="GR20" s="295"/>
      <c r="GS20" s="295"/>
      <c r="GT20" s="295"/>
      <c r="GU20" s="295"/>
      <c r="GV20" s="295"/>
      <c r="GW20" s="295"/>
      <c r="GX20" s="295"/>
      <c r="GY20" s="295"/>
      <c r="GZ20" s="295"/>
      <c r="HA20" s="295"/>
      <c r="HB20" s="295"/>
      <c r="HC20" s="295"/>
      <c r="HD20" s="295"/>
      <c r="HE20" s="295"/>
      <c r="HF20" s="295"/>
      <c r="HG20" s="295"/>
      <c r="HH20" s="295"/>
      <c r="HI20" s="295"/>
      <c r="HJ20" s="295"/>
      <c r="HK20" s="295"/>
      <c r="HL20" s="295"/>
      <c r="HM20" s="295"/>
      <c r="HN20" s="295"/>
      <c r="HO20" s="295"/>
      <c r="HP20" s="295"/>
      <c r="HQ20" s="295"/>
      <c r="HR20" s="295"/>
      <c r="HS20" s="295"/>
      <c r="HT20" s="295"/>
      <c r="HU20" s="295"/>
      <c r="HV20" s="295"/>
      <c r="HW20" s="295"/>
      <c r="HX20" s="295"/>
      <c r="HY20" s="295"/>
      <c r="HZ20" s="295"/>
      <c r="IA20" s="295"/>
      <c r="IB20" s="295"/>
      <c r="IC20" s="295"/>
      <c r="ID20" s="295"/>
      <c r="IE20" s="295"/>
      <c r="IF20" s="295"/>
      <c r="IG20" s="295"/>
      <c r="IH20" s="295"/>
      <c r="II20" s="295"/>
      <c r="IJ20" s="295"/>
      <c r="IK20" s="295"/>
      <c r="IL20" s="295"/>
      <c r="IM20" s="295"/>
      <c r="IN20" s="295"/>
      <c r="IO20" s="295"/>
      <c r="IP20" s="295"/>
      <c r="IQ20" s="295"/>
      <c r="IR20" s="295"/>
      <c r="IS20" s="295"/>
      <c r="IT20" s="295"/>
      <c r="IU20" s="295"/>
      <c r="IV20" s="295"/>
      <c r="IW20" s="295"/>
      <c r="IX20" s="295"/>
      <c r="IY20" s="295"/>
      <c r="IZ20" s="295"/>
      <c r="JA20" s="295"/>
      <c r="JB20" s="295"/>
      <c r="JC20" s="295"/>
      <c r="JD20" s="295"/>
      <c r="JE20" s="295"/>
      <c r="JF20" s="295"/>
      <c r="JG20" s="295"/>
      <c r="JH20" s="295"/>
      <c r="JI20" s="295"/>
      <c r="JJ20" s="295"/>
      <c r="JK20" s="295"/>
      <c r="JL20" s="295"/>
      <c r="JM20" s="295"/>
      <c r="JN20" s="295"/>
      <c r="JO20" s="295"/>
      <c r="JP20" s="295"/>
      <c r="JQ20" s="295"/>
      <c r="JR20" s="295"/>
      <c r="JS20" s="295"/>
      <c r="JT20" s="295"/>
      <c r="JU20" s="295"/>
      <c r="JV20" s="295"/>
      <c r="JW20" s="295"/>
      <c r="JX20" s="295"/>
      <c r="JY20" s="295"/>
      <c r="JZ20" s="295"/>
      <c r="KA20" s="295"/>
      <c r="KB20" s="295"/>
      <c r="KC20" s="295"/>
      <c r="KD20" s="295"/>
      <c r="KE20" s="295"/>
      <c r="KF20" s="295"/>
      <c r="KG20" s="295"/>
      <c r="KH20" s="295"/>
      <c r="KI20" s="295"/>
      <c r="KJ20" s="295"/>
      <c r="KK20" s="295"/>
      <c r="KL20" s="295"/>
      <c r="KM20" s="295"/>
      <c r="KN20" s="295"/>
      <c r="KO20" s="295"/>
      <c r="KP20" s="295"/>
      <c r="KQ20" s="295"/>
      <c r="KR20" s="295"/>
      <c r="KS20" s="295"/>
      <c r="KT20" s="295"/>
      <c r="KU20" s="295"/>
      <c r="KV20" s="295"/>
      <c r="KW20" s="295"/>
      <c r="KX20" s="295"/>
      <c r="KY20" s="295"/>
      <c r="KZ20" s="295"/>
      <c r="LA20" s="295"/>
      <c r="LB20" s="295"/>
      <c r="LC20" s="295"/>
      <c r="LD20" s="295"/>
      <c r="LE20" s="295"/>
      <c r="LF20" s="295"/>
      <c r="LG20" s="295"/>
      <c r="LH20" s="295"/>
      <c r="LI20" s="295"/>
      <c r="LJ20" s="295"/>
      <c r="LK20" s="295"/>
      <c r="LL20" s="295"/>
      <c r="LM20" s="295"/>
      <c r="LN20" s="295"/>
      <c r="LO20" s="295"/>
      <c r="LP20" s="295"/>
      <c r="LQ20" s="295"/>
      <c r="LR20" s="295"/>
      <c r="LS20" s="295"/>
      <c r="LT20" s="295"/>
      <c r="LU20" s="295"/>
      <c r="LV20" s="295"/>
      <c r="LW20" s="295"/>
      <c r="LX20" s="295"/>
      <c r="LY20" s="295"/>
      <c r="LZ20" s="295"/>
      <c r="MA20" s="295"/>
      <c r="MB20" s="295"/>
      <c r="MC20" s="295"/>
      <c r="MD20" s="295"/>
      <c r="ME20" s="295"/>
      <c r="MF20" s="295"/>
      <c r="MG20" s="295"/>
      <c r="MH20" s="295"/>
    </row>
    <row r="21" spans="1:424" s="18" customFormat="1" x14ac:dyDescent="0.2">
      <c r="A21" s="295"/>
      <c r="B21" s="8" t="s">
        <v>878</v>
      </c>
      <c r="C21" s="10" t="str">
        <f t="shared" si="25"/>
        <v>68</v>
      </c>
      <c r="D21" s="9" t="str">
        <f t="shared" si="25"/>
        <v>+11,12</v>
      </c>
      <c r="E21" s="10" t="s">
        <v>908</v>
      </c>
      <c r="F21" s="9" t="s">
        <v>909</v>
      </c>
      <c r="G21" s="302">
        <v>76.709999999999994</v>
      </c>
      <c r="H21" s="303">
        <f t="shared" si="26"/>
        <v>1.9</v>
      </c>
      <c r="I21" s="303">
        <v>1.9</v>
      </c>
      <c r="J21" s="13">
        <f t="shared" si="0"/>
        <v>1.9</v>
      </c>
      <c r="K21" s="14">
        <v>710</v>
      </c>
      <c r="L21" s="15">
        <f t="shared" si="14"/>
        <v>76.709999999999994</v>
      </c>
      <c r="M21" s="16">
        <v>1.3</v>
      </c>
      <c r="N21" s="14" t="s">
        <v>134</v>
      </c>
      <c r="O21" s="17">
        <f t="shared" si="27"/>
        <v>460.26</v>
      </c>
      <c r="P21" s="13">
        <f t="shared" si="1"/>
        <v>0</v>
      </c>
      <c r="Q21" s="13">
        <f t="shared" si="2"/>
        <v>0</v>
      </c>
      <c r="R21" s="13">
        <f t="shared" si="3"/>
        <v>0</v>
      </c>
      <c r="S21" s="13">
        <f t="shared" si="4"/>
        <v>0</v>
      </c>
      <c r="T21" s="13">
        <f t="shared" si="5"/>
        <v>198.94738500000003</v>
      </c>
      <c r="U21" s="13">
        <f t="shared" si="15"/>
        <v>9.9473692500000013</v>
      </c>
      <c r="V21" s="13">
        <f t="shared" si="16"/>
        <v>189.00001575000002</v>
      </c>
      <c r="W21" s="13">
        <f t="shared" si="17"/>
        <v>0</v>
      </c>
      <c r="X21" s="13">
        <f t="shared" si="18"/>
        <v>0</v>
      </c>
      <c r="Y21" s="13">
        <f t="shared" si="6"/>
        <v>4.9736846250000006</v>
      </c>
      <c r="Z21" s="13">
        <f t="shared" si="7"/>
        <v>4.9736846250000006</v>
      </c>
      <c r="AA21" s="13">
        <f t="shared" si="8"/>
        <v>0</v>
      </c>
      <c r="AB21" s="13">
        <f t="shared" si="19"/>
        <v>0</v>
      </c>
      <c r="AC21" s="13">
        <f t="shared" si="20"/>
        <v>0</v>
      </c>
      <c r="AD21" s="13">
        <f t="shared" si="21"/>
        <v>88.830007402500001</v>
      </c>
      <c r="AE21" s="13">
        <f t="shared" si="22"/>
        <v>94.500007875000009</v>
      </c>
      <c r="AF21" s="13">
        <f t="shared" si="23"/>
        <v>0</v>
      </c>
      <c r="AG21" s="13">
        <f t="shared" si="24"/>
        <v>0</v>
      </c>
      <c r="AH21" s="13">
        <f t="shared" si="9"/>
        <v>5.6700004724999999</v>
      </c>
      <c r="AI21" s="13">
        <f t="shared" si="10"/>
        <v>99.722999999999999</v>
      </c>
      <c r="AJ21" s="13">
        <f t="shared" si="11"/>
        <v>198.94738500000003</v>
      </c>
      <c r="AK21" s="13">
        <f t="shared" si="12"/>
        <v>291.49799999999999</v>
      </c>
      <c r="AL21" s="13">
        <f t="shared" si="13"/>
        <v>0</v>
      </c>
      <c r="AM21" s="295"/>
      <c r="AN21" s="295"/>
      <c r="AO21" s="295"/>
      <c r="AP21" s="295"/>
      <c r="AQ21" s="295"/>
      <c r="AR21" s="295"/>
      <c r="AS21" s="295"/>
      <c r="AT21" s="295"/>
      <c r="AU21" s="295"/>
      <c r="AV21" s="295"/>
      <c r="AW21" s="295"/>
      <c r="AX21" s="295"/>
      <c r="AY21" s="295"/>
      <c r="AZ21" s="295"/>
      <c r="BA21" s="295"/>
      <c r="BB21" s="295"/>
      <c r="BC21" s="295"/>
      <c r="BD21" s="295"/>
      <c r="BE21" s="295"/>
      <c r="BF21" s="295"/>
      <c r="BG21" s="295"/>
      <c r="BH21" s="295"/>
      <c r="BI21" s="295"/>
      <c r="BJ21" s="295"/>
      <c r="BK21" s="295"/>
      <c r="BL21" s="295"/>
      <c r="BM21" s="295"/>
      <c r="BN21" s="295"/>
      <c r="BO21" s="295"/>
      <c r="BP21" s="295"/>
      <c r="BQ21" s="295"/>
      <c r="BR21" s="295"/>
      <c r="BS21" s="295"/>
      <c r="BT21" s="295"/>
      <c r="BU21" s="295"/>
      <c r="BV21" s="295"/>
      <c r="BW21" s="295"/>
      <c r="BX21" s="295"/>
      <c r="BY21" s="295"/>
      <c r="BZ21" s="295"/>
      <c r="CA21" s="295"/>
      <c r="CB21" s="295"/>
      <c r="CC21" s="295"/>
      <c r="CD21" s="295"/>
      <c r="CE21" s="295"/>
      <c r="CF21" s="295"/>
      <c r="CG21" s="295"/>
      <c r="CH21" s="295"/>
      <c r="CI21" s="295"/>
      <c r="CJ21" s="295"/>
      <c r="CK21" s="295"/>
      <c r="CL21" s="295"/>
      <c r="CM21" s="295"/>
      <c r="CN21" s="295"/>
      <c r="CO21" s="295"/>
      <c r="CP21" s="295"/>
      <c r="CQ21" s="295"/>
      <c r="CR21" s="295"/>
      <c r="CS21" s="295"/>
      <c r="CT21" s="295"/>
      <c r="CU21" s="295"/>
      <c r="CV21" s="295"/>
      <c r="CW21" s="295"/>
      <c r="CX21" s="295"/>
      <c r="CY21" s="295"/>
      <c r="CZ21" s="295"/>
      <c r="DA21" s="295"/>
      <c r="DB21" s="295"/>
      <c r="DC21" s="295"/>
      <c r="DD21" s="295"/>
      <c r="DE21" s="295"/>
      <c r="DF21" s="295"/>
      <c r="DG21" s="295"/>
      <c r="DH21" s="295"/>
      <c r="DI21" s="295"/>
      <c r="DJ21" s="295"/>
      <c r="DK21" s="295"/>
      <c r="DL21" s="295"/>
      <c r="DM21" s="295"/>
      <c r="DN21" s="295"/>
      <c r="DO21" s="295"/>
      <c r="DP21" s="295"/>
      <c r="DQ21" s="295"/>
      <c r="DR21" s="295"/>
      <c r="DS21" s="295"/>
      <c r="DT21" s="295"/>
      <c r="DU21" s="295"/>
      <c r="DV21" s="295"/>
      <c r="DW21" s="295"/>
      <c r="DX21" s="295"/>
      <c r="DY21" s="295"/>
      <c r="DZ21" s="295"/>
      <c r="EA21" s="295"/>
      <c r="EB21" s="295"/>
      <c r="EC21" s="295"/>
      <c r="ED21" s="295"/>
      <c r="EE21" s="295"/>
      <c r="EF21" s="295"/>
      <c r="EG21" s="295"/>
      <c r="EH21" s="295"/>
      <c r="EI21" s="295"/>
      <c r="EJ21" s="295"/>
      <c r="EK21" s="295"/>
      <c r="EL21" s="295"/>
      <c r="EM21" s="295"/>
      <c r="EN21" s="295"/>
      <c r="EO21" s="295"/>
      <c r="EP21" s="295"/>
      <c r="EQ21" s="295"/>
      <c r="ER21" s="295"/>
      <c r="ES21" s="295"/>
      <c r="ET21" s="295"/>
      <c r="EU21" s="295"/>
      <c r="EV21" s="295"/>
      <c r="EW21" s="295"/>
      <c r="EX21" s="295"/>
      <c r="EY21" s="295"/>
      <c r="EZ21" s="295"/>
      <c r="FA21" s="295"/>
      <c r="FB21" s="295"/>
      <c r="FC21" s="295"/>
      <c r="FD21" s="295"/>
      <c r="FE21" s="295"/>
      <c r="FF21" s="295"/>
      <c r="FG21" s="295"/>
      <c r="FH21" s="295"/>
      <c r="FI21" s="295"/>
      <c r="FJ21" s="295"/>
      <c r="FK21" s="295"/>
      <c r="FL21" s="295"/>
      <c r="FM21" s="295"/>
      <c r="FN21" s="295"/>
      <c r="FO21" s="295"/>
      <c r="FP21" s="295"/>
      <c r="FQ21" s="295"/>
      <c r="FR21" s="295"/>
      <c r="FS21" s="295"/>
      <c r="FT21" s="295"/>
      <c r="FU21" s="295"/>
      <c r="FV21" s="295"/>
      <c r="FW21" s="295"/>
      <c r="FX21" s="295"/>
      <c r="FY21" s="295"/>
      <c r="FZ21" s="295"/>
      <c r="GA21" s="295"/>
      <c r="GB21" s="295"/>
      <c r="GC21" s="295"/>
      <c r="GD21" s="295"/>
      <c r="GE21" s="295"/>
      <c r="GF21" s="295"/>
      <c r="GG21" s="295"/>
      <c r="GH21" s="295"/>
      <c r="GI21" s="295"/>
      <c r="GJ21" s="295"/>
      <c r="GK21" s="295"/>
      <c r="GL21" s="295"/>
      <c r="GM21" s="295"/>
      <c r="GN21" s="295"/>
      <c r="GO21" s="295"/>
      <c r="GP21" s="295"/>
      <c r="GQ21" s="295"/>
      <c r="GR21" s="295"/>
      <c r="GS21" s="295"/>
      <c r="GT21" s="295"/>
      <c r="GU21" s="295"/>
      <c r="GV21" s="295"/>
      <c r="GW21" s="295"/>
      <c r="GX21" s="295"/>
      <c r="GY21" s="295"/>
      <c r="GZ21" s="295"/>
      <c r="HA21" s="295"/>
      <c r="HB21" s="295"/>
      <c r="HC21" s="295"/>
      <c r="HD21" s="295"/>
      <c r="HE21" s="295"/>
      <c r="HF21" s="295"/>
      <c r="HG21" s="295"/>
      <c r="HH21" s="295"/>
      <c r="HI21" s="295"/>
      <c r="HJ21" s="295"/>
      <c r="HK21" s="295"/>
      <c r="HL21" s="295"/>
      <c r="HM21" s="295"/>
      <c r="HN21" s="295"/>
      <c r="HO21" s="295"/>
      <c r="HP21" s="295"/>
      <c r="HQ21" s="295"/>
      <c r="HR21" s="295"/>
      <c r="HS21" s="295"/>
      <c r="HT21" s="295"/>
      <c r="HU21" s="295"/>
      <c r="HV21" s="295"/>
      <c r="HW21" s="295"/>
      <c r="HX21" s="295"/>
      <c r="HY21" s="295"/>
      <c r="HZ21" s="295"/>
      <c r="IA21" s="295"/>
      <c r="IB21" s="295"/>
      <c r="IC21" s="295"/>
      <c r="ID21" s="295"/>
      <c r="IE21" s="295"/>
      <c r="IF21" s="295"/>
      <c r="IG21" s="295"/>
      <c r="IH21" s="295"/>
      <c r="II21" s="295"/>
      <c r="IJ21" s="295"/>
      <c r="IK21" s="295"/>
      <c r="IL21" s="295"/>
      <c r="IM21" s="295"/>
      <c r="IN21" s="295"/>
      <c r="IO21" s="295"/>
      <c r="IP21" s="295"/>
      <c r="IQ21" s="295"/>
      <c r="IR21" s="295"/>
      <c r="IS21" s="295"/>
      <c r="IT21" s="295"/>
      <c r="IU21" s="295"/>
      <c r="IV21" s="295"/>
      <c r="IW21" s="295"/>
      <c r="IX21" s="295"/>
      <c r="IY21" s="295"/>
      <c r="IZ21" s="295"/>
      <c r="JA21" s="295"/>
      <c r="JB21" s="295"/>
      <c r="JC21" s="295"/>
      <c r="JD21" s="295"/>
      <c r="JE21" s="295"/>
      <c r="JF21" s="295"/>
      <c r="JG21" s="295"/>
      <c r="JH21" s="295"/>
      <c r="JI21" s="295"/>
      <c r="JJ21" s="295"/>
      <c r="JK21" s="295"/>
      <c r="JL21" s="295"/>
      <c r="JM21" s="295"/>
      <c r="JN21" s="295"/>
      <c r="JO21" s="295"/>
      <c r="JP21" s="295"/>
      <c r="JQ21" s="295"/>
      <c r="JR21" s="295"/>
      <c r="JS21" s="295"/>
      <c r="JT21" s="295"/>
      <c r="JU21" s="295"/>
      <c r="JV21" s="295"/>
      <c r="JW21" s="295"/>
      <c r="JX21" s="295"/>
      <c r="JY21" s="295"/>
      <c r="JZ21" s="295"/>
      <c r="KA21" s="295"/>
      <c r="KB21" s="295"/>
      <c r="KC21" s="295"/>
      <c r="KD21" s="295"/>
      <c r="KE21" s="295"/>
      <c r="KF21" s="295"/>
      <c r="KG21" s="295"/>
      <c r="KH21" s="295"/>
      <c r="KI21" s="295"/>
      <c r="KJ21" s="295"/>
      <c r="KK21" s="295"/>
      <c r="KL21" s="295"/>
      <c r="KM21" s="295"/>
      <c r="KN21" s="295"/>
      <c r="KO21" s="295"/>
      <c r="KP21" s="295"/>
      <c r="KQ21" s="295"/>
      <c r="KR21" s="295"/>
      <c r="KS21" s="295"/>
      <c r="KT21" s="295"/>
      <c r="KU21" s="295"/>
      <c r="KV21" s="295"/>
      <c r="KW21" s="295"/>
      <c r="KX21" s="295"/>
      <c r="KY21" s="295"/>
      <c r="KZ21" s="295"/>
      <c r="LA21" s="295"/>
      <c r="LB21" s="295"/>
      <c r="LC21" s="295"/>
      <c r="LD21" s="295"/>
      <c r="LE21" s="295"/>
      <c r="LF21" s="295"/>
      <c r="LG21" s="295"/>
      <c r="LH21" s="295"/>
      <c r="LI21" s="295"/>
      <c r="LJ21" s="295"/>
      <c r="LK21" s="295"/>
      <c r="LL21" s="295"/>
      <c r="LM21" s="295"/>
      <c r="LN21" s="295"/>
      <c r="LO21" s="295"/>
      <c r="LP21" s="295"/>
      <c r="LQ21" s="295"/>
      <c r="LR21" s="295"/>
      <c r="LS21" s="295"/>
      <c r="LT21" s="295"/>
      <c r="LU21" s="295"/>
      <c r="LV21" s="295"/>
      <c r="LW21" s="295"/>
      <c r="LX21" s="295"/>
      <c r="LY21" s="295"/>
      <c r="LZ21" s="295"/>
      <c r="MA21" s="295"/>
      <c r="MB21" s="295"/>
      <c r="MC21" s="295"/>
      <c r="MD21" s="295"/>
      <c r="ME21" s="295"/>
      <c r="MF21" s="295"/>
      <c r="MG21" s="295"/>
      <c r="MH21" s="295"/>
    </row>
    <row r="22" spans="1:424" s="18" customFormat="1" x14ac:dyDescent="0.2">
      <c r="A22" s="295"/>
      <c r="B22" s="8" t="s">
        <v>878</v>
      </c>
      <c r="C22" s="10" t="str">
        <f t="shared" si="25"/>
        <v>72</v>
      </c>
      <c r="D22" s="9" t="str">
        <f t="shared" si="25"/>
        <v>+07,83</v>
      </c>
      <c r="E22" s="10" t="s">
        <v>910</v>
      </c>
      <c r="F22" s="9" t="s">
        <v>132</v>
      </c>
      <c r="G22" s="302">
        <v>12.17</v>
      </c>
      <c r="H22" s="303">
        <f t="shared" si="26"/>
        <v>1.9</v>
      </c>
      <c r="I22" s="303">
        <v>2.25</v>
      </c>
      <c r="J22" s="13">
        <f t="shared" si="0"/>
        <v>2.0750000000000002</v>
      </c>
      <c r="K22" s="14">
        <v>710</v>
      </c>
      <c r="L22" s="15">
        <f t="shared" si="14"/>
        <v>12.17</v>
      </c>
      <c r="M22" s="16">
        <v>1.7</v>
      </c>
      <c r="N22" s="14" t="s">
        <v>134</v>
      </c>
      <c r="O22" s="17">
        <f t="shared" si="27"/>
        <v>73.02</v>
      </c>
      <c r="P22" s="13">
        <f t="shared" si="1"/>
        <v>0</v>
      </c>
      <c r="Q22" s="13">
        <f t="shared" si="2"/>
        <v>0</v>
      </c>
      <c r="R22" s="13">
        <f t="shared" si="3"/>
        <v>0</v>
      </c>
      <c r="S22" s="13">
        <f t="shared" si="4"/>
        <v>0</v>
      </c>
      <c r="T22" s="13">
        <f t="shared" si="5"/>
        <v>45.076158750000005</v>
      </c>
      <c r="U22" s="13">
        <f t="shared" si="15"/>
        <v>2.2538079375000004</v>
      </c>
      <c r="V22" s="13">
        <f t="shared" si="16"/>
        <v>42.822350812500005</v>
      </c>
      <c r="W22" s="13">
        <f t="shared" si="17"/>
        <v>0</v>
      </c>
      <c r="X22" s="13">
        <f t="shared" si="18"/>
        <v>0</v>
      </c>
      <c r="Y22" s="13">
        <f t="shared" si="6"/>
        <v>1.1269039687500002</v>
      </c>
      <c r="Z22" s="13">
        <f t="shared" si="7"/>
        <v>1.1269039687500002</v>
      </c>
      <c r="AA22" s="13">
        <f t="shared" si="8"/>
        <v>0</v>
      </c>
      <c r="AB22" s="13">
        <f t="shared" si="19"/>
        <v>0</v>
      </c>
      <c r="AC22" s="13">
        <f t="shared" si="20"/>
        <v>0</v>
      </c>
      <c r="AD22" s="13">
        <f t="shared" si="21"/>
        <v>20.126504881875</v>
      </c>
      <c r="AE22" s="13">
        <f t="shared" si="22"/>
        <v>21.411175406250003</v>
      </c>
      <c r="AF22" s="13">
        <f t="shared" si="23"/>
        <v>0</v>
      </c>
      <c r="AG22" s="13">
        <f t="shared" si="24"/>
        <v>0</v>
      </c>
      <c r="AH22" s="13">
        <f t="shared" si="9"/>
        <v>1.2846705243750001</v>
      </c>
      <c r="AI22" s="13">
        <f t="shared" si="10"/>
        <v>20.689</v>
      </c>
      <c r="AJ22" s="13">
        <f t="shared" si="11"/>
        <v>45.076158750000005</v>
      </c>
      <c r="AK22" s="13">
        <f t="shared" si="12"/>
        <v>0</v>
      </c>
      <c r="AL22" s="13">
        <f t="shared" si="13"/>
        <v>25.252750000000002</v>
      </c>
      <c r="AM22" s="295"/>
      <c r="AN22" s="295"/>
      <c r="AO22" s="295"/>
      <c r="AP22" s="295"/>
      <c r="AQ22" s="295"/>
      <c r="AR22" s="295"/>
      <c r="AS22" s="295"/>
      <c r="AT22" s="295"/>
      <c r="AU22" s="295"/>
      <c r="AV22" s="295"/>
      <c r="AW22" s="295"/>
      <c r="AX22" s="295"/>
      <c r="AY22" s="295"/>
      <c r="AZ22" s="295"/>
      <c r="BA22" s="295"/>
      <c r="BB22" s="295"/>
      <c r="BC22" s="295"/>
      <c r="BD22" s="295"/>
      <c r="BE22" s="295"/>
      <c r="BF22" s="295"/>
      <c r="BG22" s="295"/>
      <c r="BH22" s="295"/>
      <c r="BI22" s="295"/>
      <c r="BJ22" s="295"/>
      <c r="BK22" s="295"/>
      <c r="BL22" s="295"/>
      <c r="BM22" s="295"/>
      <c r="BN22" s="295"/>
      <c r="BO22" s="295"/>
      <c r="BP22" s="295"/>
      <c r="BQ22" s="295"/>
      <c r="BR22" s="295"/>
      <c r="BS22" s="295"/>
      <c r="BT22" s="295"/>
      <c r="BU22" s="295"/>
      <c r="BV22" s="295"/>
      <c r="BW22" s="295"/>
      <c r="BX22" s="295"/>
      <c r="BY22" s="295"/>
      <c r="BZ22" s="295"/>
      <c r="CA22" s="295"/>
      <c r="CB22" s="295"/>
      <c r="CC22" s="295"/>
      <c r="CD22" s="295"/>
      <c r="CE22" s="295"/>
      <c r="CF22" s="295"/>
      <c r="CG22" s="295"/>
      <c r="CH22" s="295"/>
      <c r="CI22" s="295"/>
      <c r="CJ22" s="295"/>
      <c r="CK22" s="295"/>
      <c r="CL22" s="295"/>
      <c r="CM22" s="295"/>
      <c r="CN22" s="295"/>
      <c r="CO22" s="295"/>
      <c r="CP22" s="295"/>
      <c r="CQ22" s="295"/>
      <c r="CR22" s="295"/>
      <c r="CS22" s="295"/>
      <c r="CT22" s="295"/>
      <c r="CU22" s="295"/>
      <c r="CV22" s="295"/>
      <c r="CW22" s="295"/>
      <c r="CX22" s="295"/>
      <c r="CY22" s="295"/>
      <c r="CZ22" s="295"/>
      <c r="DA22" s="295"/>
      <c r="DB22" s="295"/>
      <c r="DC22" s="295"/>
      <c r="DD22" s="295"/>
      <c r="DE22" s="295"/>
      <c r="DF22" s="295"/>
      <c r="DG22" s="295"/>
      <c r="DH22" s="295"/>
      <c r="DI22" s="295"/>
      <c r="DJ22" s="295"/>
      <c r="DK22" s="295"/>
      <c r="DL22" s="295"/>
      <c r="DM22" s="295"/>
      <c r="DN22" s="295"/>
      <c r="DO22" s="295"/>
      <c r="DP22" s="295"/>
      <c r="DQ22" s="295"/>
      <c r="DR22" s="295"/>
      <c r="DS22" s="295"/>
      <c r="DT22" s="295"/>
      <c r="DU22" s="295"/>
      <c r="DV22" s="295"/>
      <c r="DW22" s="295"/>
      <c r="DX22" s="295"/>
      <c r="DY22" s="295"/>
      <c r="DZ22" s="295"/>
      <c r="EA22" s="295"/>
      <c r="EB22" s="295"/>
      <c r="EC22" s="295"/>
      <c r="ED22" s="295"/>
      <c r="EE22" s="295"/>
      <c r="EF22" s="295"/>
      <c r="EG22" s="295"/>
      <c r="EH22" s="295"/>
      <c r="EI22" s="295"/>
      <c r="EJ22" s="295"/>
      <c r="EK22" s="295"/>
      <c r="EL22" s="295"/>
      <c r="EM22" s="295"/>
      <c r="EN22" s="295"/>
      <c r="EO22" s="295"/>
      <c r="EP22" s="295"/>
      <c r="EQ22" s="295"/>
      <c r="ER22" s="295"/>
      <c r="ES22" s="295"/>
      <c r="ET22" s="295"/>
      <c r="EU22" s="295"/>
      <c r="EV22" s="295"/>
      <c r="EW22" s="295"/>
      <c r="EX22" s="295"/>
      <c r="EY22" s="295"/>
      <c r="EZ22" s="295"/>
      <c r="FA22" s="295"/>
      <c r="FB22" s="295"/>
      <c r="FC22" s="295"/>
      <c r="FD22" s="295"/>
      <c r="FE22" s="295"/>
      <c r="FF22" s="295"/>
      <c r="FG22" s="295"/>
      <c r="FH22" s="295"/>
      <c r="FI22" s="295"/>
      <c r="FJ22" s="295"/>
      <c r="FK22" s="295"/>
      <c r="FL22" s="295"/>
      <c r="FM22" s="295"/>
      <c r="FN22" s="295"/>
      <c r="FO22" s="295"/>
      <c r="FP22" s="295"/>
      <c r="FQ22" s="295"/>
      <c r="FR22" s="295"/>
      <c r="FS22" s="295"/>
      <c r="FT22" s="295"/>
      <c r="FU22" s="295"/>
      <c r="FV22" s="295"/>
      <c r="FW22" s="295"/>
      <c r="FX22" s="295"/>
      <c r="FY22" s="295"/>
      <c r="FZ22" s="295"/>
      <c r="GA22" s="295"/>
      <c r="GB22" s="295"/>
      <c r="GC22" s="295"/>
      <c r="GD22" s="295"/>
      <c r="GE22" s="295"/>
      <c r="GF22" s="295"/>
      <c r="GG22" s="295"/>
      <c r="GH22" s="295"/>
      <c r="GI22" s="295"/>
      <c r="GJ22" s="295"/>
      <c r="GK22" s="295"/>
      <c r="GL22" s="295"/>
      <c r="GM22" s="295"/>
      <c r="GN22" s="295"/>
      <c r="GO22" s="295"/>
      <c r="GP22" s="295"/>
      <c r="GQ22" s="295"/>
      <c r="GR22" s="295"/>
      <c r="GS22" s="295"/>
      <c r="GT22" s="295"/>
      <c r="GU22" s="295"/>
      <c r="GV22" s="295"/>
      <c r="GW22" s="295"/>
      <c r="GX22" s="295"/>
      <c r="GY22" s="295"/>
      <c r="GZ22" s="295"/>
      <c r="HA22" s="295"/>
      <c r="HB22" s="295"/>
      <c r="HC22" s="295"/>
      <c r="HD22" s="295"/>
      <c r="HE22" s="295"/>
      <c r="HF22" s="295"/>
      <c r="HG22" s="295"/>
      <c r="HH22" s="295"/>
      <c r="HI22" s="295"/>
      <c r="HJ22" s="295"/>
      <c r="HK22" s="295"/>
      <c r="HL22" s="295"/>
      <c r="HM22" s="295"/>
      <c r="HN22" s="295"/>
      <c r="HO22" s="295"/>
      <c r="HP22" s="295"/>
      <c r="HQ22" s="295"/>
      <c r="HR22" s="295"/>
      <c r="HS22" s="295"/>
      <c r="HT22" s="295"/>
      <c r="HU22" s="295"/>
      <c r="HV22" s="295"/>
      <c r="HW22" s="295"/>
      <c r="HX22" s="295"/>
      <c r="HY22" s="295"/>
      <c r="HZ22" s="295"/>
      <c r="IA22" s="295"/>
      <c r="IB22" s="295"/>
      <c r="IC22" s="295"/>
      <c r="ID22" s="295"/>
      <c r="IE22" s="295"/>
      <c r="IF22" s="295"/>
      <c r="IG22" s="295"/>
      <c r="IH22" s="295"/>
      <c r="II22" s="295"/>
      <c r="IJ22" s="295"/>
      <c r="IK22" s="295"/>
      <c r="IL22" s="295"/>
      <c r="IM22" s="295"/>
      <c r="IN22" s="295"/>
      <c r="IO22" s="295"/>
      <c r="IP22" s="295"/>
      <c r="IQ22" s="295"/>
      <c r="IR22" s="295"/>
      <c r="IS22" s="295"/>
      <c r="IT22" s="295"/>
      <c r="IU22" s="295"/>
      <c r="IV22" s="295"/>
      <c r="IW22" s="295"/>
      <c r="IX22" s="295"/>
      <c r="IY22" s="295"/>
      <c r="IZ22" s="295"/>
      <c r="JA22" s="295"/>
      <c r="JB22" s="295"/>
      <c r="JC22" s="295"/>
      <c r="JD22" s="295"/>
      <c r="JE22" s="295"/>
      <c r="JF22" s="295"/>
      <c r="JG22" s="295"/>
      <c r="JH22" s="295"/>
      <c r="JI22" s="295"/>
      <c r="JJ22" s="295"/>
      <c r="JK22" s="295"/>
      <c r="JL22" s="295"/>
      <c r="JM22" s="295"/>
      <c r="JN22" s="295"/>
      <c r="JO22" s="295"/>
      <c r="JP22" s="295"/>
      <c r="JQ22" s="295"/>
      <c r="JR22" s="295"/>
      <c r="JS22" s="295"/>
      <c r="JT22" s="295"/>
      <c r="JU22" s="295"/>
      <c r="JV22" s="295"/>
      <c r="JW22" s="295"/>
      <c r="JX22" s="295"/>
      <c r="JY22" s="295"/>
      <c r="JZ22" s="295"/>
      <c r="KA22" s="295"/>
      <c r="KB22" s="295"/>
      <c r="KC22" s="295"/>
      <c r="KD22" s="295"/>
      <c r="KE22" s="295"/>
      <c r="KF22" s="295"/>
      <c r="KG22" s="295"/>
      <c r="KH22" s="295"/>
      <c r="KI22" s="295"/>
      <c r="KJ22" s="295"/>
      <c r="KK22" s="295"/>
      <c r="KL22" s="295"/>
      <c r="KM22" s="295"/>
      <c r="KN22" s="295"/>
      <c r="KO22" s="295"/>
      <c r="KP22" s="295"/>
      <c r="KQ22" s="295"/>
      <c r="KR22" s="295"/>
      <c r="KS22" s="295"/>
      <c r="KT22" s="295"/>
      <c r="KU22" s="295"/>
      <c r="KV22" s="295"/>
      <c r="KW22" s="295"/>
      <c r="KX22" s="295"/>
      <c r="KY22" s="295"/>
      <c r="KZ22" s="295"/>
      <c r="LA22" s="295"/>
      <c r="LB22" s="295"/>
      <c r="LC22" s="295"/>
      <c r="LD22" s="295"/>
      <c r="LE22" s="295"/>
      <c r="LF22" s="295"/>
      <c r="LG22" s="295"/>
      <c r="LH22" s="295"/>
      <c r="LI22" s="295"/>
      <c r="LJ22" s="295"/>
      <c r="LK22" s="295"/>
      <c r="LL22" s="295"/>
      <c r="LM22" s="295"/>
      <c r="LN22" s="295"/>
      <c r="LO22" s="295"/>
      <c r="LP22" s="295"/>
      <c r="LQ22" s="295"/>
      <c r="LR22" s="295"/>
      <c r="LS22" s="295"/>
      <c r="LT22" s="295"/>
      <c r="LU22" s="295"/>
      <c r="LV22" s="295"/>
      <c r="LW22" s="295"/>
      <c r="LX22" s="295"/>
      <c r="LY22" s="295"/>
      <c r="LZ22" s="295"/>
      <c r="MA22" s="295"/>
      <c r="MB22" s="295"/>
      <c r="MC22" s="295"/>
      <c r="MD22" s="295"/>
      <c r="ME22" s="295"/>
      <c r="MF22" s="295"/>
      <c r="MG22" s="295"/>
      <c r="MH22" s="295"/>
    </row>
    <row r="23" spans="1:424" s="18" customFormat="1" x14ac:dyDescent="0.2">
      <c r="A23" s="295"/>
      <c r="B23" s="8" t="s">
        <v>878</v>
      </c>
      <c r="C23" s="10" t="str">
        <f t="shared" si="25"/>
        <v>73</v>
      </c>
      <c r="D23" s="9" t="str">
        <f t="shared" si="25"/>
        <v>+00,00</v>
      </c>
      <c r="E23" s="10" t="s">
        <v>911</v>
      </c>
      <c r="F23" s="9" t="s">
        <v>912</v>
      </c>
      <c r="G23" s="302">
        <v>65.67</v>
      </c>
      <c r="H23" s="303">
        <f t="shared" si="26"/>
        <v>2.25</v>
      </c>
      <c r="I23" s="303">
        <v>1.9</v>
      </c>
      <c r="J23" s="13">
        <f t="shared" si="0"/>
        <v>2.0750000000000002</v>
      </c>
      <c r="K23" s="14">
        <v>710</v>
      </c>
      <c r="L23" s="15">
        <f t="shared" si="14"/>
        <v>65.67</v>
      </c>
      <c r="M23" s="16">
        <v>1.7</v>
      </c>
      <c r="N23" s="14" t="s">
        <v>134</v>
      </c>
      <c r="O23" s="17">
        <f t="shared" si="27"/>
        <v>394.02</v>
      </c>
      <c r="P23" s="13">
        <f t="shared" si="1"/>
        <v>0</v>
      </c>
      <c r="Q23" s="13">
        <f t="shared" si="2"/>
        <v>0</v>
      </c>
      <c r="R23" s="13">
        <f t="shared" si="3"/>
        <v>0</v>
      </c>
      <c r="S23" s="13">
        <f t="shared" si="4"/>
        <v>0</v>
      </c>
      <c r="T23" s="13">
        <f t="shared" si="5"/>
        <v>243.23347125000001</v>
      </c>
      <c r="U23" s="13">
        <f t="shared" si="15"/>
        <v>12.161673562500001</v>
      </c>
      <c r="V23" s="13">
        <f t="shared" si="16"/>
        <v>231.07179768750001</v>
      </c>
      <c r="W23" s="13">
        <f t="shared" si="17"/>
        <v>0</v>
      </c>
      <c r="X23" s="13">
        <f t="shared" si="18"/>
        <v>0</v>
      </c>
      <c r="Y23" s="13">
        <f t="shared" si="6"/>
        <v>6.0808367812500004</v>
      </c>
      <c r="Z23" s="13">
        <f t="shared" si="7"/>
        <v>6.0808367812500004</v>
      </c>
      <c r="AA23" s="13">
        <f t="shared" si="8"/>
        <v>0</v>
      </c>
      <c r="AB23" s="13">
        <f t="shared" si="19"/>
        <v>0</v>
      </c>
      <c r="AC23" s="13">
        <f t="shared" si="20"/>
        <v>0</v>
      </c>
      <c r="AD23" s="13">
        <f t="shared" si="21"/>
        <v>108.603744913125</v>
      </c>
      <c r="AE23" s="13">
        <f t="shared" si="22"/>
        <v>115.53589884375</v>
      </c>
      <c r="AF23" s="13">
        <f t="shared" si="23"/>
        <v>0</v>
      </c>
      <c r="AG23" s="13">
        <f t="shared" si="24"/>
        <v>0</v>
      </c>
      <c r="AH23" s="13">
        <f t="shared" si="9"/>
        <v>6.9321539306249997</v>
      </c>
      <c r="AI23" s="13">
        <f t="shared" si="10"/>
        <v>111.639</v>
      </c>
      <c r="AJ23" s="13">
        <f t="shared" si="11"/>
        <v>243.23347125000001</v>
      </c>
      <c r="AK23" s="13">
        <f t="shared" si="12"/>
        <v>0</v>
      </c>
      <c r="AL23" s="13">
        <f t="shared" si="13"/>
        <v>136.26525000000001</v>
      </c>
      <c r="AM23" s="295"/>
      <c r="AN23" s="295"/>
      <c r="AO23" s="295"/>
      <c r="AP23" s="295"/>
      <c r="AQ23" s="295"/>
      <c r="AR23" s="295"/>
      <c r="AS23" s="295"/>
      <c r="AT23" s="295"/>
      <c r="AU23" s="295"/>
      <c r="AV23" s="295"/>
      <c r="AW23" s="295"/>
      <c r="AX23" s="295"/>
      <c r="AY23" s="295"/>
      <c r="AZ23" s="295"/>
      <c r="BA23" s="295"/>
      <c r="BB23" s="295"/>
      <c r="BC23" s="295"/>
      <c r="BD23" s="295"/>
      <c r="BE23" s="295"/>
      <c r="BF23" s="295"/>
      <c r="BG23" s="295"/>
      <c r="BH23" s="295"/>
      <c r="BI23" s="295"/>
      <c r="BJ23" s="295"/>
      <c r="BK23" s="295"/>
      <c r="BL23" s="295"/>
      <c r="BM23" s="295"/>
      <c r="BN23" s="295"/>
      <c r="BO23" s="295"/>
      <c r="BP23" s="295"/>
      <c r="BQ23" s="295"/>
      <c r="BR23" s="295"/>
      <c r="BS23" s="295"/>
      <c r="BT23" s="295"/>
      <c r="BU23" s="295"/>
      <c r="BV23" s="295"/>
      <c r="BW23" s="295"/>
      <c r="BX23" s="295"/>
      <c r="BY23" s="295"/>
      <c r="BZ23" s="295"/>
      <c r="CA23" s="295"/>
      <c r="CB23" s="295"/>
      <c r="CC23" s="295"/>
      <c r="CD23" s="295"/>
      <c r="CE23" s="295"/>
      <c r="CF23" s="295"/>
      <c r="CG23" s="295"/>
      <c r="CH23" s="295"/>
      <c r="CI23" s="295"/>
      <c r="CJ23" s="295"/>
      <c r="CK23" s="295"/>
      <c r="CL23" s="295"/>
      <c r="CM23" s="295"/>
      <c r="CN23" s="295"/>
      <c r="CO23" s="295"/>
      <c r="CP23" s="295"/>
      <c r="CQ23" s="295"/>
      <c r="CR23" s="295"/>
      <c r="CS23" s="295"/>
      <c r="CT23" s="295"/>
      <c r="CU23" s="295"/>
      <c r="CV23" s="295"/>
      <c r="CW23" s="295"/>
      <c r="CX23" s="295"/>
      <c r="CY23" s="295"/>
      <c r="CZ23" s="295"/>
      <c r="DA23" s="295"/>
      <c r="DB23" s="295"/>
      <c r="DC23" s="295"/>
      <c r="DD23" s="295"/>
      <c r="DE23" s="295"/>
      <c r="DF23" s="295"/>
      <c r="DG23" s="295"/>
      <c r="DH23" s="295"/>
      <c r="DI23" s="295"/>
      <c r="DJ23" s="295"/>
      <c r="DK23" s="295"/>
      <c r="DL23" s="295"/>
      <c r="DM23" s="295"/>
      <c r="DN23" s="295"/>
      <c r="DO23" s="295"/>
      <c r="DP23" s="295"/>
      <c r="DQ23" s="295"/>
      <c r="DR23" s="295"/>
      <c r="DS23" s="295"/>
      <c r="DT23" s="295"/>
      <c r="DU23" s="295"/>
      <c r="DV23" s="295"/>
      <c r="DW23" s="295"/>
      <c r="DX23" s="295"/>
      <c r="DY23" s="295"/>
      <c r="DZ23" s="295"/>
      <c r="EA23" s="295"/>
      <c r="EB23" s="295"/>
      <c r="EC23" s="295"/>
      <c r="ED23" s="295"/>
      <c r="EE23" s="295"/>
      <c r="EF23" s="295"/>
      <c r="EG23" s="295"/>
      <c r="EH23" s="295"/>
      <c r="EI23" s="295"/>
      <c r="EJ23" s="295"/>
      <c r="EK23" s="295"/>
      <c r="EL23" s="295"/>
      <c r="EM23" s="295"/>
      <c r="EN23" s="295"/>
      <c r="EO23" s="295"/>
      <c r="EP23" s="295"/>
      <c r="EQ23" s="295"/>
      <c r="ER23" s="295"/>
      <c r="ES23" s="295"/>
      <c r="ET23" s="295"/>
      <c r="EU23" s="295"/>
      <c r="EV23" s="295"/>
      <c r="EW23" s="295"/>
      <c r="EX23" s="295"/>
      <c r="EY23" s="295"/>
      <c r="EZ23" s="295"/>
      <c r="FA23" s="295"/>
      <c r="FB23" s="295"/>
      <c r="FC23" s="295"/>
      <c r="FD23" s="295"/>
      <c r="FE23" s="295"/>
      <c r="FF23" s="295"/>
      <c r="FG23" s="295"/>
      <c r="FH23" s="295"/>
      <c r="FI23" s="295"/>
      <c r="FJ23" s="295"/>
      <c r="FK23" s="295"/>
      <c r="FL23" s="295"/>
      <c r="FM23" s="295"/>
      <c r="FN23" s="295"/>
      <c r="FO23" s="295"/>
      <c r="FP23" s="295"/>
      <c r="FQ23" s="295"/>
      <c r="FR23" s="295"/>
      <c r="FS23" s="295"/>
      <c r="FT23" s="295"/>
      <c r="FU23" s="295"/>
      <c r="FV23" s="295"/>
      <c r="FW23" s="295"/>
      <c r="FX23" s="295"/>
      <c r="FY23" s="295"/>
      <c r="FZ23" s="295"/>
      <c r="GA23" s="295"/>
      <c r="GB23" s="295"/>
      <c r="GC23" s="295"/>
      <c r="GD23" s="295"/>
      <c r="GE23" s="295"/>
      <c r="GF23" s="295"/>
      <c r="GG23" s="295"/>
      <c r="GH23" s="295"/>
      <c r="GI23" s="295"/>
      <c r="GJ23" s="295"/>
      <c r="GK23" s="295"/>
      <c r="GL23" s="295"/>
      <c r="GM23" s="295"/>
      <c r="GN23" s="295"/>
      <c r="GO23" s="295"/>
      <c r="GP23" s="295"/>
      <c r="GQ23" s="295"/>
      <c r="GR23" s="295"/>
      <c r="GS23" s="295"/>
      <c r="GT23" s="295"/>
      <c r="GU23" s="295"/>
      <c r="GV23" s="295"/>
      <c r="GW23" s="295"/>
      <c r="GX23" s="295"/>
      <c r="GY23" s="295"/>
      <c r="GZ23" s="295"/>
      <c r="HA23" s="295"/>
      <c r="HB23" s="295"/>
      <c r="HC23" s="295"/>
      <c r="HD23" s="295"/>
      <c r="HE23" s="295"/>
      <c r="HF23" s="295"/>
      <c r="HG23" s="295"/>
      <c r="HH23" s="295"/>
      <c r="HI23" s="295"/>
      <c r="HJ23" s="295"/>
      <c r="HK23" s="295"/>
      <c r="HL23" s="295"/>
      <c r="HM23" s="295"/>
      <c r="HN23" s="295"/>
      <c r="HO23" s="295"/>
      <c r="HP23" s="295"/>
      <c r="HQ23" s="295"/>
      <c r="HR23" s="295"/>
      <c r="HS23" s="295"/>
      <c r="HT23" s="295"/>
      <c r="HU23" s="295"/>
      <c r="HV23" s="295"/>
      <c r="HW23" s="295"/>
      <c r="HX23" s="295"/>
      <c r="HY23" s="295"/>
      <c r="HZ23" s="295"/>
      <c r="IA23" s="295"/>
      <c r="IB23" s="295"/>
      <c r="IC23" s="295"/>
      <c r="ID23" s="295"/>
      <c r="IE23" s="295"/>
      <c r="IF23" s="295"/>
      <c r="IG23" s="295"/>
      <c r="IH23" s="295"/>
      <c r="II23" s="295"/>
      <c r="IJ23" s="295"/>
      <c r="IK23" s="295"/>
      <c r="IL23" s="295"/>
      <c r="IM23" s="295"/>
      <c r="IN23" s="295"/>
      <c r="IO23" s="295"/>
      <c r="IP23" s="295"/>
      <c r="IQ23" s="295"/>
      <c r="IR23" s="295"/>
      <c r="IS23" s="295"/>
      <c r="IT23" s="295"/>
      <c r="IU23" s="295"/>
      <c r="IV23" s="295"/>
      <c r="IW23" s="295"/>
      <c r="IX23" s="295"/>
      <c r="IY23" s="295"/>
      <c r="IZ23" s="295"/>
      <c r="JA23" s="295"/>
      <c r="JB23" s="295"/>
      <c r="JC23" s="295"/>
      <c r="JD23" s="295"/>
      <c r="JE23" s="295"/>
      <c r="JF23" s="295"/>
      <c r="JG23" s="295"/>
      <c r="JH23" s="295"/>
      <c r="JI23" s="295"/>
      <c r="JJ23" s="295"/>
      <c r="JK23" s="295"/>
      <c r="JL23" s="295"/>
      <c r="JM23" s="295"/>
      <c r="JN23" s="295"/>
      <c r="JO23" s="295"/>
      <c r="JP23" s="295"/>
      <c r="JQ23" s="295"/>
      <c r="JR23" s="295"/>
      <c r="JS23" s="295"/>
      <c r="JT23" s="295"/>
      <c r="JU23" s="295"/>
      <c r="JV23" s="295"/>
      <c r="JW23" s="295"/>
      <c r="JX23" s="295"/>
      <c r="JY23" s="295"/>
      <c r="JZ23" s="295"/>
      <c r="KA23" s="295"/>
      <c r="KB23" s="295"/>
      <c r="KC23" s="295"/>
      <c r="KD23" s="295"/>
      <c r="KE23" s="295"/>
      <c r="KF23" s="295"/>
      <c r="KG23" s="295"/>
      <c r="KH23" s="295"/>
      <c r="KI23" s="295"/>
      <c r="KJ23" s="295"/>
      <c r="KK23" s="295"/>
      <c r="KL23" s="295"/>
      <c r="KM23" s="295"/>
      <c r="KN23" s="295"/>
      <c r="KO23" s="295"/>
      <c r="KP23" s="295"/>
      <c r="KQ23" s="295"/>
      <c r="KR23" s="295"/>
      <c r="KS23" s="295"/>
      <c r="KT23" s="295"/>
      <c r="KU23" s="295"/>
      <c r="KV23" s="295"/>
      <c r="KW23" s="295"/>
      <c r="KX23" s="295"/>
      <c r="KY23" s="295"/>
      <c r="KZ23" s="295"/>
      <c r="LA23" s="295"/>
      <c r="LB23" s="295"/>
      <c r="LC23" s="295"/>
      <c r="LD23" s="295"/>
      <c r="LE23" s="295"/>
      <c r="LF23" s="295"/>
      <c r="LG23" s="295"/>
      <c r="LH23" s="295"/>
      <c r="LI23" s="295"/>
      <c r="LJ23" s="295"/>
      <c r="LK23" s="295"/>
      <c r="LL23" s="295"/>
      <c r="LM23" s="295"/>
      <c r="LN23" s="295"/>
      <c r="LO23" s="295"/>
      <c r="LP23" s="295"/>
      <c r="LQ23" s="295"/>
      <c r="LR23" s="295"/>
      <c r="LS23" s="295"/>
      <c r="LT23" s="295"/>
      <c r="LU23" s="295"/>
      <c r="LV23" s="295"/>
      <c r="LW23" s="295"/>
      <c r="LX23" s="295"/>
      <c r="LY23" s="295"/>
      <c r="LZ23" s="295"/>
      <c r="MA23" s="295"/>
      <c r="MB23" s="295"/>
      <c r="MC23" s="295"/>
      <c r="MD23" s="295"/>
      <c r="ME23" s="295"/>
      <c r="MF23" s="295"/>
      <c r="MG23" s="295"/>
      <c r="MH23" s="295"/>
    </row>
    <row r="24" spans="1:424" s="18" customFormat="1" x14ac:dyDescent="0.2">
      <c r="A24" s="295"/>
      <c r="B24" s="8" t="s">
        <v>878</v>
      </c>
      <c r="C24" s="10" t="str">
        <f t="shared" si="25"/>
        <v>76</v>
      </c>
      <c r="D24" s="9" t="str">
        <f t="shared" si="25"/>
        <v>+05,67</v>
      </c>
      <c r="E24" s="10" t="s">
        <v>913</v>
      </c>
      <c r="F24" s="9" t="s">
        <v>914</v>
      </c>
      <c r="G24" s="302">
        <v>396.07</v>
      </c>
      <c r="H24" s="303">
        <f t="shared" si="26"/>
        <v>1.9</v>
      </c>
      <c r="I24" s="303">
        <v>1.97</v>
      </c>
      <c r="J24" s="13">
        <f t="shared" si="0"/>
        <v>1.9350000000000001</v>
      </c>
      <c r="K24" s="14">
        <v>710</v>
      </c>
      <c r="L24" s="15">
        <f t="shared" si="14"/>
        <v>396.07</v>
      </c>
      <c r="M24" s="16">
        <v>1.3</v>
      </c>
      <c r="N24" s="14" t="s">
        <v>134</v>
      </c>
      <c r="O24" s="17">
        <f t="shared" si="27"/>
        <v>2376.42</v>
      </c>
      <c r="P24" s="13">
        <f t="shared" si="1"/>
        <v>0</v>
      </c>
      <c r="Q24" s="13">
        <f t="shared" si="2"/>
        <v>0</v>
      </c>
      <c r="R24" s="13">
        <f t="shared" si="3"/>
        <v>0</v>
      </c>
      <c r="S24" s="13">
        <f t="shared" si="4"/>
        <v>0</v>
      </c>
      <c r="T24" s="13">
        <f t="shared" si="5"/>
        <v>1046.1297892499999</v>
      </c>
      <c r="U24" s="13">
        <f t="shared" si="15"/>
        <v>52.306489462499997</v>
      </c>
      <c r="V24" s="13">
        <f t="shared" si="16"/>
        <v>993.82329978749988</v>
      </c>
      <c r="W24" s="13">
        <f t="shared" si="17"/>
        <v>0</v>
      </c>
      <c r="X24" s="13">
        <f t="shared" si="18"/>
        <v>0</v>
      </c>
      <c r="Y24" s="13">
        <f t="shared" si="6"/>
        <v>26.153244731249998</v>
      </c>
      <c r="Z24" s="13">
        <f t="shared" si="7"/>
        <v>26.153244731249998</v>
      </c>
      <c r="AA24" s="13">
        <f t="shared" si="8"/>
        <v>0</v>
      </c>
      <c r="AB24" s="13">
        <f t="shared" si="19"/>
        <v>0</v>
      </c>
      <c r="AC24" s="13">
        <f t="shared" si="20"/>
        <v>0</v>
      </c>
      <c r="AD24" s="13">
        <f t="shared" si="21"/>
        <v>467.09695090012491</v>
      </c>
      <c r="AE24" s="13">
        <f t="shared" si="22"/>
        <v>496.91164989374994</v>
      </c>
      <c r="AF24" s="13">
        <f t="shared" si="23"/>
        <v>0</v>
      </c>
      <c r="AG24" s="13">
        <f t="shared" si="24"/>
        <v>0</v>
      </c>
      <c r="AH24" s="13">
        <f t="shared" si="9"/>
        <v>29.814698993624994</v>
      </c>
      <c r="AI24" s="13">
        <f t="shared" si="10"/>
        <v>514.89099999999996</v>
      </c>
      <c r="AJ24" s="13">
        <f t="shared" si="11"/>
        <v>1046.1297892499999</v>
      </c>
      <c r="AK24" s="13">
        <f t="shared" si="12"/>
        <v>1532.7909</v>
      </c>
      <c r="AL24" s="13">
        <f t="shared" si="13"/>
        <v>0</v>
      </c>
      <c r="AM24" s="295"/>
      <c r="AN24" s="295"/>
      <c r="AO24" s="295"/>
      <c r="AP24" s="295"/>
      <c r="AQ24" s="295"/>
      <c r="AR24" s="295"/>
      <c r="AS24" s="295"/>
      <c r="AT24" s="295"/>
      <c r="AU24" s="295"/>
      <c r="AV24" s="295"/>
      <c r="AW24" s="295"/>
      <c r="AX24" s="295"/>
      <c r="AY24" s="295"/>
      <c r="AZ24" s="295"/>
      <c r="BA24" s="295"/>
      <c r="BB24" s="295"/>
      <c r="BC24" s="295"/>
      <c r="BD24" s="295"/>
      <c r="BE24" s="295"/>
      <c r="BF24" s="295"/>
      <c r="BG24" s="295"/>
      <c r="BH24" s="295"/>
      <c r="BI24" s="295"/>
      <c r="BJ24" s="295"/>
      <c r="BK24" s="295"/>
      <c r="BL24" s="295"/>
      <c r="BM24" s="295"/>
      <c r="BN24" s="295"/>
      <c r="BO24" s="295"/>
      <c r="BP24" s="295"/>
      <c r="BQ24" s="295"/>
      <c r="BR24" s="295"/>
      <c r="BS24" s="295"/>
      <c r="BT24" s="295"/>
      <c r="BU24" s="295"/>
      <c r="BV24" s="295"/>
      <c r="BW24" s="295"/>
      <c r="BX24" s="295"/>
      <c r="BY24" s="295"/>
      <c r="BZ24" s="295"/>
      <c r="CA24" s="295"/>
      <c r="CB24" s="295"/>
      <c r="CC24" s="295"/>
      <c r="CD24" s="295"/>
      <c r="CE24" s="295"/>
      <c r="CF24" s="295"/>
      <c r="CG24" s="295"/>
      <c r="CH24" s="295"/>
      <c r="CI24" s="295"/>
      <c r="CJ24" s="295"/>
      <c r="CK24" s="295"/>
      <c r="CL24" s="295"/>
      <c r="CM24" s="295"/>
      <c r="CN24" s="295"/>
      <c r="CO24" s="295"/>
      <c r="CP24" s="295"/>
      <c r="CQ24" s="295"/>
      <c r="CR24" s="295"/>
      <c r="CS24" s="295"/>
      <c r="CT24" s="295"/>
      <c r="CU24" s="295"/>
      <c r="CV24" s="295"/>
      <c r="CW24" s="295"/>
      <c r="CX24" s="295"/>
      <c r="CY24" s="295"/>
      <c r="CZ24" s="295"/>
      <c r="DA24" s="295"/>
      <c r="DB24" s="295"/>
      <c r="DC24" s="295"/>
      <c r="DD24" s="295"/>
      <c r="DE24" s="295"/>
      <c r="DF24" s="295"/>
      <c r="DG24" s="295"/>
      <c r="DH24" s="295"/>
      <c r="DI24" s="295"/>
      <c r="DJ24" s="295"/>
      <c r="DK24" s="295"/>
      <c r="DL24" s="295"/>
      <c r="DM24" s="295"/>
      <c r="DN24" s="295"/>
      <c r="DO24" s="295"/>
      <c r="DP24" s="295"/>
      <c r="DQ24" s="295"/>
      <c r="DR24" s="295"/>
      <c r="DS24" s="295"/>
      <c r="DT24" s="295"/>
      <c r="DU24" s="295"/>
      <c r="DV24" s="295"/>
      <c r="DW24" s="295"/>
      <c r="DX24" s="295"/>
      <c r="DY24" s="295"/>
      <c r="DZ24" s="295"/>
      <c r="EA24" s="295"/>
      <c r="EB24" s="295"/>
      <c r="EC24" s="295"/>
      <c r="ED24" s="295"/>
      <c r="EE24" s="295"/>
      <c r="EF24" s="295"/>
      <c r="EG24" s="295"/>
      <c r="EH24" s="295"/>
      <c r="EI24" s="295"/>
      <c r="EJ24" s="295"/>
      <c r="EK24" s="295"/>
      <c r="EL24" s="295"/>
      <c r="EM24" s="295"/>
      <c r="EN24" s="295"/>
      <c r="EO24" s="295"/>
      <c r="EP24" s="295"/>
      <c r="EQ24" s="295"/>
      <c r="ER24" s="295"/>
      <c r="ES24" s="295"/>
      <c r="ET24" s="295"/>
      <c r="EU24" s="295"/>
      <c r="EV24" s="295"/>
      <c r="EW24" s="295"/>
      <c r="EX24" s="295"/>
      <c r="EY24" s="295"/>
      <c r="EZ24" s="295"/>
      <c r="FA24" s="295"/>
      <c r="FB24" s="295"/>
      <c r="FC24" s="295"/>
      <c r="FD24" s="295"/>
      <c r="FE24" s="295"/>
      <c r="FF24" s="295"/>
      <c r="FG24" s="295"/>
      <c r="FH24" s="295"/>
      <c r="FI24" s="295"/>
      <c r="FJ24" s="295"/>
      <c r="FK24" s="295"/>
      <c r="FL24" s="295"/>
      <c r="FM24" s="295"/>
      <c r="FN24" s="295"/>
      <c r="FO24" s="295"/>
      <c r="FP24" s="295"/>
      <c r="FQ24" s="295"/>
      <c r="FR24" s="295"/>
      <c r="FS24" s="295"/>
      <c r="FT24" s="295"/>
      <c r="FU24" s="295"/>
      <c r="FV24" s="295"/>
      <c r="FW24" s="295"/>
      <c r="FX24" s="295"/>
      <c r="FY24" s="295"/>
      <c r="FZ24" s="295"/>
      <c r="GA24" s="295"/>
      <c r="GB24" s="295"/>
      <c r="GC24" s="295"/>
      <c r="GD24" s="295"/>
      <c r="GE24" s="295"/>
      <c r="GF24" s="295"/>
      <c r="GG24" s="295"/>
      <c r="GH24" s="295"/>
      <c r="GI24" s="295"/>
      <c r="GJ24" s="295"/>
      <c r="GK24" s="295"/>
      <c r="GL24" s="295"/>
      <c r="GM24" s="295"/>
      <c r="GN24" s="295"/>
      <c r="GO24" s="295"/>
      <c r="GP24" s="295"/>
      <c r="GQ24" s="295"/>
      <c r="GR24" s="295"/>
      <c r="GS24" s="295"/>
      <c r="GT24" s="295"/>
      <c r="GU24" s="295"/>
      <c r="GV24" s="295"/>
      <c r="GW24" s="295"/>
      <c r="GX24" s="295"/>
      <c r="GY24" s="295"/>
      <c r="GZ24" s="295"/>
      <c r="HA24" s="295"/>
      <c r="HB24" s="295"/>
      <c r="HC24" s="295"/>
      <c r="HD24" s="295"/>
      <c r="HE24" s="295"/>
      <c r="HF24" s="295"/>
      <c r="HG24" s="295"/>
      <c r="HH24" s="295"/>
      <c r="HI24" s="295"/>
      <c r="HJ24" s="295"/>
      <c r="HK24" s="295"/>
      <c r="HL24" s="295"/>
      <c r="HM24" s="295"/>
      <c r="HN24" s="295"/>
      <c r="HO24" s="295"/>
      <c r="HP24" s="295"/>
      <c r="HQ24" s="295"/>
      <c r="HR24" s="295"/>
      <c r="HS24" s="295"/>
      <c r="HT24" s="295"/>
      <c r="HU24" s="295"/>
      <c r="HV24" s="295"/>
      <c r="HW24" s="295"/>
      <c r="HX24" s="295"/>
      <c r="HY24" s="295"/>
      <c r="HZ24" s="295"/>
      <c r="IA24" s="295"/>
      <c r="IB24" s="295"/>
      <c r="IC24" s="295"/>
      <c r="ID24" s="295"/>
      <c r="IE24" s="295"/>
      <c r="IF24" s="295"/>
      <c r="IG24" s="295"/>
      <c r="IH24" s="295"/>
      <c r="II24" s="295"/>
      <c r="IJ24" s="295"/>
      <c r="IK24" s="295"/>
      <c r="IL24" s="295"/>
      <c r="IM24" s="295"/>
      <c r="IN24" s="295"/>
      <c r="IO24" s="295"/>
      <c r="IP24" s="295"/>
      <c r="IQ24" s="295"/>
      <c r="IR24" s="295"/>
      <c r="IS24" s="295"/>
      <c r="IT24" s="295"/>
      <c r="IU24" s="295"/>
      <c r="IV24" s="295"/>
      <c r="IW24" s="295"/>
      <c r="IX24" s="295"/>
      <c r="IY24" s="295"/>
      <c r="IZ24" s="295"/>
      <c r="JA24" s="295"/>
      <c r="JB24" s="295"/>
      <c r="JC24" s="295"/>
      <c r="JD24" s="295"/>
      <c r="JE24" s="295"/>
      <c r="JF24" s="295"/>
      <c r="JG24" s="295"/>
      <c r="JH24" s="295"/>
      <c r="JI24" s="295"/>
      <c r="JJ24" s="295"/>
      <c r="JK24" s="295"/>
      <c r="JL24" s="295"/>
      <c r="JM24" s="295"/>
      <c r="JN24" s="295"/>
      <c r="JO24" s="295"/>
      <c r="JP24" s="295"/>
      <c r="JQ24" s="295"/>
      <c r="JR24" s="295"/>
      <c r="JS24" s="295"/>
      <c r="JT24" s="295"/>
      <c r="JU24" s="295"/>
      <c r="JV24" s="295"/>
      <c r="JW24" s="295"/>
      <c r="JX24" s="295"/>
      <c r="JY24" s="295"/>
      <c r="JZ24" s="295"/>
      <c r="KA24" s="295"/>
      <c r="KB24" s="295"/>
      <c r="KC24" s="295"/>
      <c r="KD24" s="295"/>
      <c r="KE24" s="295"/>
      <c r="KF24" s="295"/>
      <c r="KG24" s="295"/>
      <c r="KH24" s="295"/>
      <c r="KI24" s="295"/>
      <c r="KJ24" s="295"/>
      <c r="KK24" s="295"/>
      <c r="KL24" s="295"/>
      <c r="KM24" s="295"/>
      <c r="KN24" s="295"/>
      <c r="KO24" s="295"/>
      <c r="KP24" s="295"/>
      <c r="KQ24" s="295"/>
      <c r="KR24" s="295"/>
      <c r="KS24" s="295"/>
      <c r="KT24" s="295"/>
      <c r="KU24" s="295"/>
      <c r="KV24" s="295"/>
      <c r="KW24" s="295"/>
      <c r="KX24" s="295"/>
      <c r="KY24" s="295"/>
      <c r="KZ24" s="295"/>
      <c r="LA24" s="295"/>
      <c r="LB24" s="295"/>
      <c r="LC24" s="295"/>
      <c r="LD24" s="295"/>
      <c r="LE24" s="295"/>
      <c r="LF24" s="295"/>
      <c r="LG24" s="295"/>
      <c r="LH24" s="295"/>
      <c r="LI24" s="295"/>
      <c r="LJ24" s="295"/>
      <c r="LK24" s="295"/>
      <c r="LL24" s="295"/>
      <c r="LM24" s="295"/>
      <c r="LN24" s="295"/>
      <c r="LO24" s="295"/>
      <c r="LP24" s="295"/>
      <c r="LQ24" s="295"/>
      <c r="LR24" s="295"/>
      <c r="LS24" s="295"/>
      <c r="LT24" s="295"/>
      <c r="LU24" s="295"/>
      <c r="LV24" s="295"/>
      <c r="LW24" s="295"/>
      <c r="LX24" s="295"/>
      <c r="LY24" s="295"/>
      <c r="LZ24" s="295"/>
      <c r="MA24" s="295"/>
      <c r="MB24" s="295"/>
      <c r="MC24" s="295"/>
      <c r="MD24" s="295"/>
      <c r="ME24" s="295"/>
      <c r="MF24" s="295"/>
      <c r="MG24" s="295"/>
      <c r="MH24" s="295"/>
      <c r="MI24" s="305"/>
      <c r="MJ24" s="305"/>
      <c r="MK24" s="305"/>
      <c r="ML24" s="305"/>
      <c r="MM24" s="305"/>
      <c r="MN24" s="305"/>
      <c r="MO24" s="305"/>
      <c r="MP24" s="305"/>
      <c r="MQ24" s="305"/>
      <c r="MR24" s="305"/>
      <c r="MS24" s="305"/>
      <c r="MT24" s="305"/>
      <c r="MU24" s="305"/>
      <c r="MV24" s="305"/>
      <c r="MW24" s="305"/>
      <c r="MX24" s="305"/>
      <c r="MY24" s="305"/>
      <c r="MZ24" s="305"/>
      <c r="NA24" s="305"/>
      <c r="NB24" s="305"/>
      <c r="NC24" s="305"/>
      <c r="ND24" s="305"/>
      <c r="NE24" s="305"/>
      <c r="NF24" s="305"/>
      <c r="NG24" s="305"/>
      <c r="NH24" s="305"/>
      <c r="NI24" s="305"/>
      <c r="NJ24" s="305"/>
      <c r="NK24" s="305"/>
      <c r="NL24" s="305"/>
      <c r="NM24" s="305"/>
      <c r="NN24" s="305"/>
      <c r="NO24" s="305"/>
      <c r="NP24" s="305"/>
      <c r="NQ24" s="305"/>
      <c r="NR24" s="305"/>
      <c r="NS24" s="305"/>
      <c r="NT24" s="305"/>
      <c r="NU24" s="305"/>
      <c r="NV24" s="305"/>
      <c r="NW24" s="305"/>
      <c r="NX24" s="305"/>
      <c r="NY24" s="305"/>
      <c r="NZ24" s="305"/>
      <c r="OA24" s="305"/>
      <c r="OB24" s="305"/>
      <c r="OC24" s="305"/>
      <c r="OD24" s="305"/>
      <c r="OE24" s="305"/>
      <c r="OF24" s="305"/>
      <c r="OG24" s="305"/>
      <c r="OH24" s="305"/>
      <c r="OI24" s="305"/>
      <c r="OJ24" s="305"/>
      <c r="OK24" s="305"/>
      <c r="OL24" s="305"/>
      <c r="OM24" s="305"/>
      <c r="ON24" s="305"/>
      <c r="OO24" s="305"/>
      <c r="OP24" s="305"/>
      <c r="OQ24" s="305"/>
      <c r="OR24" s="305"/>
      <c r="OS24" s="305"/>
      <c r="OT24" s="305"/>
      <c r="OU24" s="305"/>
      <c r="OV24" s="305"/>
      <c r="OW24" s="305"/>
      <c r="OX24" s="305"/>
      <c r="OY24" s="305"/>
      <c r="OZ24" s="305"/>
      <c r="PA24" s="305"/>
      <c r="PB24" s="305"/>
      <c r="PC24" s="305"/>
      <c r="PD24" s="305"/>
      <c r="PE24" s="305"/>
      <c r="PF24" s="305"/>
      <c r="PG24" s="305"/>
      <c r="PH24" s="305"/>
    </row>
    <row r="25" spans="1:424" s="18" customFormat="1" x14ac:dyDescent="0.2">
      <c r="A25" s="295"/>
      <c r="B25" s="8" t="s">
        <v>878</v>
      </c>
      <c r="C25" s="10" t="str">
        <f t="shared" si="25"/>
        <v>96</v>
      </c>
      <c r="D25" s="9" t="str">
        <f t="shared" si="25"/>
        <v>+01,74</v>
      </c>
      <c r="E25" s="10" t="s">
        <v>915</v>
      </c>
      <c r="F25" s="9" t="s">
        <v>916</v>
      </c>
      <c r="G25" s="302">
        <v>169.32</v>
      </c>
      <c r="H25" s="303">
        <f t="shared" si="26"/>
        <v>1.97</v>
      </c>
      <c r="I25" s="303">
        <v>1.9</v>
      </c>
      <c r="J25" s="13">
        <f t="shared" si="0"/>
        <v>1.9350000000000001</v>
      </c>
      <c r="K25" s="14">
        <v>710</v>
      </c>
      <c r="L25" s="15">
        <f t="shared" si="14"/>
        <v>169.32</v>
      </c>
      <c r="M25" s="16">
        <v>1.3</v>
      </c>
      <c r="N25" s="14" t="s">
        <v>134</v>
      </c>
      <c r="O25" s="17">
        <f t="shared" si="27"/>
        <v>1015.92</v>
      </c>
      <c r="P25" s="13">
        <f t="shared" si="1"/>
        <v>0</v>
      </c>
      <c r="Q25" s="13">
        <f t="shared" si="2"/>
        <v>0</v>
      </c>
      <c r="R25" s="13">
        <f t="shared" si="3"/>
        <v>0</v>
      </c>
      <c r="S25" s="13">
        <f t="shared" si="4"/>
        <v>0</v>
      </c>
      <c r="T25" s="13">
        <f t="shared" si="5"/>
        <v>447.22068300000007</v>
      </c>
      <c r="U25" s="13">
        <f t="shared" si="15"/>
        <v>22.361034150000005</v>
      </c>
      <c r="V25" s="13">
        <f t="shared" si="16"/>
        <v>424.85964885000004</v>
      </c>
      <c r="W25" s="13">
        <f t="shared" si="17"/>
        <v>0</v>
      </c>
      <c r="X25" s="13">
        <f t="shared" si="18"/>
        <v>0</v>
      </c>
      <c r="Y25" s="13">
        <f t="shared" si="6"/>
        <v>11.180517075000003</v>
      </c>
      <c r="Z25" s="13">
        <f t="shared" si="7"/>
        <v>11.180517075000003</v>
      </c>
      <c r="AA25" s="13">
        <f t="shared" si="8"/>
        <v>0</v>
      </c>
      <c r="AB25" s="13">
        <f t="shared" si="19"/>
        <v>0</v>
      </c>
      <c r="AC25" s="13">
        <f t="shared" si="20"/>
        <v>0</v>
      </c>
      <c r="AD25" s="13">
        <f t="shared" si="21"/>
        <v>199.6840349595</v>
      </c>
      <c r="AE25" s="13">
        <f t="shared" si="22"/>
        <v>212.42982442500002</v>
      </c>
      <c r="AF25" s="13">
        <f t="shared" si="23"/>
        <v>0</v>
      </c>
      <c r="AG25" s="13">
        <f t="shared" si="24"/>
        <v>0</v>
      </c>
      <c r="AH25" s="13">
        <f t="shared" si="9"/>
        <v>12.745789465500001</v>
      </c>
      <c r="AI25" s="13">
        <f t="shared" si="10"/>
        <v>220.11599999999999</v>
      </c>
      <c r="AJ25" s="13">
        <f t="shared" si="11"/>
        <v>447.22068300000007</v>
      </c>
      <c r="AK25" s="13">
        <f t="shared" si="12"/>
        <v>655.26840000000004</v>
      </c>
      <c r="AL25" s="13">
        <f t="shared" si="13"/>
        <v>0</v>
      </c>
      <c r="AM25" s="295"/>
      <c r="AN25" s="295"/>
      <c r="AO25" s="295"/>
      <c r="AP25" s="295"/>
      <c r="AQ25" s="295"/>
      <c r="AR25" s="295"/>
      <c r="AS25" s="295"/>
      <c r="AT25" s="295"/>
      <c r="AU25" s="295"/>
      <c r="AV25" s="295"/>
      <c r="AW25" s="295"/>
      <c r="AX25" s="295"/>
      <c r="AY25" s="295"/>
      <c r="AZ25" s="295"/>
      <c r="BA25" s="295"/>
      <c r="BB25" s="295"/>
      <c r="BC25" s="295"/>
      <c r="BD25" s="295"/>
      <c r="BE25" s="295"/>
      <c r="BF25" s="295"/>
      <c r="BG25" s="295"/>
      <c r="BH25" s="295"/>
      <c r="BI25" s="295"/>
      <c r="BJ25" s="295"/>
      <c r="BK25" s="295"/>
      <c r="BL25" s="295"/>
      <c r="BM25" s="295"/>
      <c r="BN25" s="295"/>
      <c r="BO25" s="295"/>
      <c r="BP25" s="295"/>
      <c r="BQ25" s="295"/>
      <c r="BR25" s="295"/>
      <c r="BS25" s="295"/>
      <c r="BT25" s="295"/>
      <c r="BU25" s="295"/>
      <c r="BV25" s="295"/>
      <c r="BW25" s="295"/>
      <c r="BX25" s="295"/>
      <c r="BY25" s="295"/>
      <c r="BZ25" s="295"/>
      <c r="CA25" s="295"/>
      <c r="CB25" s="295"/>
      <c r="CC25" s="295"/>
      <c r="CD25" s="295"/>
      <c r="CE25" s="295"/>
      <c r="CF25" s="295"/>
      <c r="CG25" s="295"/>
      <c r="CH25" s="295"/>
      <c r="CI25" s="295"/>
      <c r="CJ25" s="295"/>
      <c r="CK25" s="295"/>
      <c r="CL25" s="295"/>
      <c r="CM25" s="295"/>
      <c r="CN25" s="295"/>
      <c r="CO25" s="295"/>
      <c r="CP25" s="295"/>
      <c r="CQ25" s="295"/>
      <c r="CR25" s="295"/>
      <c r="CS25" s="295"/>
      <c r="CT25" s="295"/>
      <c r="CU25" s="295"/>
      <c r="CV25" s="295"/>
      <c r="CW25" s="295"/>
      <c r="CX25" s="295"/>
      <c r="CY25" s="295"/>
      <c r="CZ25" s="295"/>
      <c r="DA25" s="295"/>
      <c r="DB25" s="295"/>
      <c r="DC25" s="295"/>
      <c r="DD25" s="295"/>
      <c r="DE25" s="295"/>
      <c r="DF25" s="295"/>
      <c r="DG25" s="295"/>
      <c r="DH25" s="295"/>
      <c r="DI25" s="295"/>
      <c r="DJ25" s="295"/>
      <c r="DK25" s="295"/>
      <c r="DL25" s="295"/>
      <c r="DM25" s="295"/>
      <c r="DN25" s="295"/>
      <c r="DO25" s="295"/>
      <c r="DP25" s="295"/>
      <c r="DQ25" s="295"/>
      <c r="DR25" s="295"/>
      <c r="DS25" s="295"/>
      <c r="DT25" s="295"/>
      <c r="DU25" s="295"/>
      <c r="DV25" s="295"/>
      <c r="DW25" s="295"/>
      <c r="DX25" s="295"/>
      <c r="DY25" s="295"/>
      <c r="DZ25" s="295"/>
      <c r="EA25" s="295"/>
      <c r="EB25" s="295"/>
      <c r="EC25" s="295"/>
      <c r="ED25" s="295"/>
      <c r="EE25" s="295"/>
      <c r="EF25" s="295"/>
      <c r="EG25" s="295"/>
      <c r="EH25" s="295"/>
      <c r="EI25" s="295"/>
      <c r="EJ25" s="295"/>
      <c r="EK25" s="295"/>
      <c r="EL25" s="295"/>
      <c r="EM25" s="295"/>
      <c r="EN25" s="295"/>
      <c r="EO25" s="295"/>
      <c r="EP25" s="295"/>
      <c r="EQ25" s="295"/>
      <c r="ER25" s="295"/>
      <c r="ES25" s="295"/>
      <c r="ET25" s="295"/>
      <c r="EU25" s="295"/>
      <c r="EV25" s="295"/>
      <c r="EW25" s="295"/>
      <c r="EX25" s="295"/>
      <c r="EY25" s="295"/>
      <c r="EZ25" s="295"/>
      <c r="FA25" s="295"/>
      <c r="FB25" s="295"/>
      <c r="FC25" s="295"/>
      <c r="FD25" s="295"/>
      <c r="FE25" s="295"/>
      <c r="FF25" s="295"/>
      <c r="FG25" s="295"/>
      <c r="FH25" s="295"/>
      <c r="FI25" s="295"/>
      <c r="FJ25" s="295"/>
      <c r="FK25" s="295"/>
      <c r="FL25" s="295"/>
      <c r="FM25" s="295"/>
      <c r="FN25" s="295"/>
      <c r="FO25" s="295"/>
      <c r="FP25" s="295"/>
      <c r="FQ25" s="295"/>
      <c r="FR25" s="295"/>
      <c r="FS25" s="295"/>
      <c r="FT25" s="295"/>
      <c r="FU25" s="295"/>
      <c r="FV25" s="295"/>
      <c r="FW25" s="295"/>
      <c r="FX25" s="295"/>
      <c r="FY25" s="295"/>
      <c r="FZ25" s="295"/>
      <c r="GA25" s="295"/>
      <c r="GB25" s="295"/>
      <c r="GC25" s="295"/>
      <c r="GD25" s="295"/>
      <c r="GE25" s="295"/>
      <c r="GF25" s="295"/>
      <c r="GG25" s="295"/>
      <c r="GH25" s="295"/>
      <c r="GI25" s="295"/>
      <c r="GJ25" s="295"/>
      <c r="GK25" s="295"/>
      <c r="GL25" s="295"/>
      <c r="GM25" s="295"/>
      <c r="GN25" s="295"/>
      <c r="GO25" s="295"/>
      <c r="GP25" s="295"/>
      <c r="GQ25" s="295"/>
      <c r="GR25" s="295"/>
      <c r="GS25" s="295"/>
      <c r="GT25" s="295"/>
      <c r="GU25" s="295"/>
      <c r="GV25" s="295"/>
      <c r="GW25" s="295"/>
      <c r="GX25" s="295"/>
      <c r="GY25" s="295"/>
      <c r="GZ25" s="295"/>
      <c r="HA25" s="295"/>
      <c r="HB25" s="295"/>
      <c r="HC25" s="295"/>
      <c r="HD25" s="295"/>
      <c r="HE25" s="295"/>
      <c r="HF25" s="295"/>
      <c r="HG25" s="295"/>
      <c r="HH25" s="295"/>
      <c r="HI25" s="295"/>
      <c r="HJ25" s="295"/>
      <c r="HK25" s="295"/>
      <c r="HL25" s="295"/>
      <c r="HM25" s="295"/>
      <c r="HN25" s="295"/>
      <c r="HO25" s="295"/>
      <c r="HP25" s="295"/>
      <c r="HQ25" s="295"/>
      <c r="HR25" s="295"/>
      <c r="HS25" s="295"/>
      <c r="HT25" s="295"/>
      <c r="HU25" s="295"/>
      <c r="HV25" s="295"/>
      <c r="HW25" s="295"/>
      <c r="HX25" s="295"/>
      <c r="HY25" s="295"/>
      <c r="HZ25" s="295"/>
      <c r="IA25" s="295"/>
      <c r="IB25" s="295"/>
      <c r="IC25" s="295"/>
      <c r="ID25" s="295"/>
      <c r="IE25" s="295"/>
      <c r="IF25" s="295"/>
      <c r="IG25" s="295"/>
      <c r="IH25" s="295"/>
      <c r="II25" s="295"/>
      <c r="IJ25" s="295"/>
      <c r="IK25" s="295"/>
      <c r="IL25" s="295"/>
      <c r="IM25" s="295"/>
      <c r="IN25" s="295"/>
      <c r="IO25" s="295"/>
      <c r="IP25" s="295"/>
      <c r="IQ25" s="295"/>
      <c r="IR25" s="295"/>
      <c r="IS25" s="295"/>
      <c r="IT25" s="295"/>
      <c r="IU25" s="295"/>
      <c r="IV25" s="295"/>
      <c r="IW25" s="295"/>
      <c r="IX25" s="295"/>
      <c r="IY25" s="295"/>
      <c r="IZ25" s="295"/>
      <c r="JA25" s="295"/>
      <c r="JB25" s="295"/>
      <c r="JC25" s="295"/>
      <c r="JD25" s="295"/>
      <c r="JE25" s="295"/>
      <c r="JF25" s="295"/>
      <c r="JG25" s="295"/>
      <c r="JH25" s="295"/>
      <c r="JI25" s="295"/>
      <c r="JJ25" s="295"/>
      <c r="JK25" s="295"/>
      <c r="JL25" s="295"/>
      <c r="JM25" s="295"/>
      <c r="JN25" s="295"/>
      <c r="JO25" s="295"/>
      <c r="JP25" s="295"/>
      <c r="JQ25" s="295"/>
      <c r="JR25" s="295"/>
      <c r="JS25" s="295"/>
      <c r="JT25" s="295"/>
      <c r="JU25" s="295"/>
      <c r="JV25" s="295"/>
      <c r="JW25" s="295"/>
      <c r="JX25" s="295"/>
      <c r="JY25" s="295"/>
      <c r="JZ25" s="295"/>
      <c r="KA25" s="295"/>
      <c r="KB25" s="295"/>
      <c r="KC25" s="295"/>
      <c r="KD25" s="295"/>
      <c r="KE25" s="295"/>
      <c r="KF25" s="295"/>
      <c r="KG25" s="295"/>
      <c r="KH25" s="295"/>
      <c r="KI25" s="295"/>
      <c r="KJ25" s="295"/>
      <c r="KK25" s="295"/>
      <c r="KL25" s="295"/>
      <c r="KM25" s="295"/>
      <c r="KN25" s="295"/>
      <c r="KO25" s="295"/>
      <c r="KP25" s="295"/>
      <c r="KQ25" s="295"/>
      <c r="KR25" s="295"/>
      <c r="KS25" s="295"/>
      <c r="KT25" s="295"/>
      <c r="KU25" s="295"/>
      <c r="KV25" s="295"/>
      <c r="KW25" s="295"/>
      <c r="KX25" s="295"/>
      <c r="KY25" s="295"/>
      <c r="KZ25" s="295"/>
      <c r="LA25" s="295"/>
      <c r="LB25" s="295"/>
      <c r="LC25" s="295"/>
      <c r="LD25" s="295"/>
      <c r="LE25" s="295"/>
      <c r="LF25" s="295"/>
      <c r="LG25" s="295"/>
      <c r="LH25" s="295"/>
      <c r="LI25" s="295"/>
      <c r="LJ25" s="295"/>
      <c r="LK25" s="295"/>
      <c r="LL25" s="295"/>
      <c r="LM25" s="295"/>
      <c r="LN25" s="295"/>
      <c r="LO25" s="295"/>
      <c r="LP25" s="295"/>
      <c r="LQ25" s="295"/>
      <c r="LR25" s="295"/>
      <c r="LS25" s="295"/>
      <c r="LT25" s="295"/>
      <c r="LU25" s="295"/>
      <c r="LV25" s="295"/>
      <c r="LW25" s="295"/>
      <c r="LX25" s="295"/>
      <c r="LY25" s="295"/>
      <c r="LZ25" s="295"/>
      <c r="MA25" s="295"/>
      <c r="MB25" s="295"/>
      <c r="MC25" s="295"/>
      <c r="MD25" s="295"/>
      <c r="ME25" s="295"/>
      <c r="MF25" s="295"/>
      <c r="MG25" s="295"/>
      <c r="MH25" s="295"/>
      <c r="MI25" s="295"/>
      <c r="MJ25" s="295"/>
      <c r="MK25" s="295"/>
      <c r="ML25" s="295"/>
      <c r="MM25" s="295"/>
      <c r="MN25" s="295"/>
      <c r="MO25" s="295"/>
      <c r="MP25" s="295"/>
      <c r="MQ25" s="295"/>
      <c r="MR25" s="295"/>
      <c r="MS25" s="295"/>
      <c r="MT25" s="295"/>
      <c r="MU25" s="295"/>
      <c r="MV25" s="295"/>
      <c r="MW25" s="295"/>
      <c r="MX25" s="295"/>
      <c r="MY25" s="295"/>
      <c r="MZ25" s="295"/>
      <c r="NA25" s="295"/>
      <c r="NB25" s="295"/>
      <c r="NC25" s="295"/>
      <c r="ND25" s="295"/>
      <c r="NE25" s="295"/>
      <c r="NF25" s="295"/>
      <c r="NG25" s="295"/>
      <c r="NH25" s="295"/>
      <c r="NI25" s="295"/>
      <c r="NJ25" s="295"/>
      <c r="NK25" s="295"/>
      <c r="NL25" s="295"/>
      <c r="NM25" s="295"/>
      <c r="NN25" s="295"/>
      <c r="NO25" s="295"/>
      <c r="NP25" s="295"/>
      <c r="NQ25" s="295"/>
      <c r="NR25" s="295"/>
      <c r="NS25" s="295"/>
      <c r="NT25" s="295"/>
      <c r="NU25" s="295"/>
      <c r="NV25" s="295"/>
      <c r="NW25" s="295"/>
      <c r="NX25" s="295"/>
      <c r="NY25" s="295"/>
      <c r="NZ25" s="295"/>
      <c r="OA25" s="295"/>
      <c r="OB25" s="295"/>
      <c r="OC25" s="295"/>
      <c r="OD25" s="295"/>
      <c r="OE25" s="295"/>
      <c r="OF25" s="295"/>
      <c r="OG25" s="295"/>
      <c r="OH25" s="295"/>
      <c r="OI25" s="295"/>
      <c r="OJ25" s="295"/>
      <c r="OK25" s="295"/>
      <c r="OL25" s="295"/>
      <c r="OM25" s="295"/>
      <c r="ON25" s="295"/>
      <c r="OO25" s="295"/>
      <c r="OP25" s="295"/>
      <c r="OQ25" s="295"/>
      <c r="OR25" s="295"/>
      <c r="OS25" s="295"/>
      <c r="OT25" s="295"/>
      <c r="OU25" s="295"/>
      <c r="OV25" s="295"/>
      <c r="OW25" s="295"/>
      <c r="OX25" s="295"/>
      <c r="OY25" s="295"/>
      <c r="OZ25" s="295"/>
      <c r="PA25" s="295"/>
      <c r="PB25" s="295"/>
      <c r="PC25" s="295"/>
      <c r="PD25" s="295"/>
      <c r="PE25" s="295"/>
      <c r="PF25" s="295"/>
      <c r="PG25" s="295"/>
      <c r="PH25" s="295"/>
    </row>
    <row r="26" spans="1:424" s="18" customFormat="1" x14ac:dyDescent="0.2">
      <c r="A26" s="295"/>
      <c r="B26" s="8" t="s">
        <v>878</v>
      </c>
      <c r="C26" s="10" t="str">
        <f t="shared" si="25"/>
        <v>104</v>
      </c>
      <c r="D26" s="9" t="str">
        <f t="shared" si="25"/>
        <v>+11,07</v>
      </c>
      <c r="E26" s="10" t="s">
        <v>917</v>
      </c>
      <c r="F26" s="9" t="s">
        <v>918</v>
      </c>
      <c r="G26" s="302">
        <v>300.27999999999997</v>
      </c>
      <c r="H26" s="303">
        <f t="shared" si="26"/>
        <v>1.9</v>
      </c>
      <c r="I26" s="303">
        <v>1.9</v>
      </c>
      <c r="J26" s="13">
        <f t="shared" si="0"/>
        <v>1.9</v>
      </c>
      <c r="K26" s="14">
        <v>710</v>
      </c>
      <c r="L26" s="15">
        <f t="shared" si="14"/>
        <v>300.27999999999997</v>
      </c>
      <c r="M26" s="16">
        <v>1.3</v>
      </c>
      <c r="N26" s="14" t="s">
        <v>134</v>
      </c>
      <c r="O26" s="17">
        <f t="shared" si="27"/>
        <v>1801.6799999999998</v>
      </c>
      <c r="P26" s="13">
        <f t="shared" si="1"/>
        <v>0</v>
      </c>
      <c r="Q26" s="13">
        <f t="shared" si="2"/>
        <v>0</v>
      </c>
      <c r="R26" s="13">
        <f t="shared" si="3"/>
        <v>0</v>
      </c>
      <c r="S26" s="13">
        <f t="shared" si="4"/>
        <v>0</v>
      </c>
      <c r="T26" s="13">
        <f t="shared" si="5"/>
        <v>778.77617999999995</v>
      </c>
      <c r="U26" s="13">
        <f t="shared" si="15"/>
        <v>38.938808999999999</v>
      </c>
      <c r="V26" s="13">
        <f t="shared" si="16"/>
        <v>739.83737099999996</v>
      </c>
      <c r="W26" s="13">
        <f t="shared" si="17"/>
        <v>0</v>
      </c>
      <c r="X26" s="13">
        <f t="shared" si="18"/>
        <v>0</v>
      </c>
      <c r="Y26" s="13">
        <f>IF(AND($J26&lt;=3,$J26&gt;1.5),U26*0.5,0)</f>
        <v>19.4694045</v>
      </c>
      <c r="Z26" s="13">
        <f t="shared" si="7"/>
        <v>19.4694045</v>
      </c>
      <c r="AA26" s="13">
        <f t="shared" si="8"/>
        <v>0</v>
      </c>
      <c r="AB26" s="13">
        <f t="shared" si="19"/>
        <v>0</v>
      </c>
      <c r="AC26" s="13">
        <f t="shared" si="20"/>
        <v>0</v>
      </c>
      <c r="AD26" s="13">
        <f t="shared" si="21"/>
        <v>347.72356436999996</v>
      </c>
      <c r="AE26" s="13">
        <f t="shared" si="22"/>
        <v>369.91868549999998</v>
      </c>
      <c r="AF26" s="13">
        <f t="shared" si="23"/>
        <v>0</v>
      </c>
      <c r="AG26" s="13">
        <f t="shared" si="24"/>
        <v>0</v>
      </c>
      <c r="AH26" s="13">
        <f t="shared" si="9"/>
        <v>22.195121129999997</v>
      </c>
      <c r="AI26" s="13">
        <f t="shared" si="10"/>
        <v>390.36399999999998</v>
      </c>
      <c r="AJ26" s="13">
        <f t="shared" si="11"/>
        <v>778.77617999999995</v>
      </c>
      <c r="AK26" s="13">
        <f t="shared" si="12"/>
        <v>1141.0639999999999</v>
      </c>
      <c r="AL26" s="13">
        <f t="shared" si="13"/>
        <v>0</v>
      </c>
      <c r="AM26" s="295"/>
      <c r="AN26" s="295"/>
      <c r="AO26" s="295"/>
      <c r="AP26" s="295"/>
      <c r="AQ26" s="295"/>
      <c r="AR26" s="295"/>
      <c r="AS26" s="295"/>
      <c r="AT26" s="295"/>
      <c r="AU26" s="295"/>
      <c r="AV26" s="295"/>
      <c r="AW26" s="295"/>
      <c r="AX26" s="295"/>
      <c r="AY26" s="295"/>
      <c r="AZ26" s="295"/>
      <c r="BA26" s="295"/>
      <c r="BB26" s="295"/>
      <c r="BC26" s="295"/>
      <c r="BD26" s="295"/>
      <c r="BE26" s="295"/>
      <c r="BF26" s="295"/>
      <c r="BG26" s="295"/>
      <c r="BH26" s="295"/>
      <c r="BI26" s="295"/>
      <c r="BJ26" s="295"/>
      <c r="BK26" s="295"/>
      <c r="BL26" s="295"/>
      <c r="BM26" s="295"/>
      <c r="BN26" s="295"/>
      <c r="BO26" s="295"/>
      <c r="BP26" s="295"/>
      <c r="BQ26" s="295"/>
      <c r="BR26" s="295"/>
      <c r="BS26" s="295"/>
      <c r="BT26" s="295"/>
      <c r="BU26" s="295"/>
      <c r="BV26" s="295"/>
      <c r="BW26" s="295"/>
      <c r="BX26" s="295"/>
      <c r="BY26" s="295"/>
      <c r="BZ26" s="295"/>
      <c r="CA26" s="295"/>
      <c r="CB26" s="295"/>
      <c r="CC26" s="295"/>
      <c r="CD26" s="295"/>
      <c r="CE26" s="295"/>
      <c r="CF26" s="295"/>
      <c r="CG26" s="295"/>
      <c r="CH26" s="295"/>
      <c r="CI26" s="295"/>
      <c r="CJ26" s="295"/>
      <c r="CK26" s="295"/>
      <c r="CL26" s="295"/>
      <c r="CM26" s="295"/>
      <c r="CN26" s="295"/>
      <c r="CO26" s="295"/>
      <c r="CP26" s="295"/>
      <c r="CQ26" s="295"/>
      <c r="CR26" s="295"/>
      <c r="CS26" s="295"/>
      <c r="CT26" s="295"/>
      <c r="CU26" s="295"/>
      <c r="CV26" s="295"/>
      <c r="CW26" s="295"/>
      <c r="CX26" s="295"/>
      <c r="CY26" s="295"/>
      <c r="CZ26" s="295"/>
      <c r="DA26" s="295"/>
      <c r="DB26" s="295"/>
      <c r="DC26" s="295"/>
      <c r="DD26" s="295"/>
      <c r="DE26" s="295"/>
      <c r="DF26" s="295"/>
      <c r="DG26" s="295"/>
      <c r="DH26" s="295"/>
      <c r="DI26" s="295"/>
      <c r="DJ26" s="295"/>
      <c r="DK26" s="295"/>
      <c r="DL26" s="295"/>
      <c r="DM26" s="295"/>
      <c r="DN26" s="295"/>
      <c r="DO26" s="295"/>
      <c r="DP26" s="295"/>
      <c r="DQ26" s="295"/>
      <c r="DR26" s="295"/>
      <c r="DS26" s="295"/>
      <c r="DT26" s="295"/>
      <c r="DU26" s="295"/>
      <c r="DV26" s="295"/>
      <c r="DW26" s="295"/>
      <c r="DX26" s="295"/>
      <c r="DY26" s="295"/>
      <c r="DZ26" s="295"/>
      <c r="EA26" s="295"/>
      <c r="EB26" s="295"/>
      <c r="EC26" s="295"/>
      <c r="ED26" s="295"/>
      <c r="EE26" s="295"/>
      <c r="EF26" s="295"/>
      <c r="EG26" s="295"/>
      <c r="EH26" s="295"/>
      <c r="EI26" s="295"/>
      <c r="EJ26" s="295"/>
      <c r="EK26" s="295"/>
      <c r="EL26" s="295"/>
      <c r="EM26" s="295"/>
      <c r="EN26" s="295"/>
      <c r="EO26" s="295"/>
      <c r="EP26" s="295"/>
      <c r="EQ26" s="295"/>
      <c r="ER26" s="295"/>
      <c r="ES26" s="295"/>
      <c r="ET26" s="295"/>
      <c r="EU26" s="295"/>
      <c r="EV26" s="295"/>
      <c r="EW26" s="295"/>
      <c r="EX26" s="295"/>
      <c r="EY26" s="295"/>
      <c r="EZ26" s="295"/>
      <c r="FA26" s="295"/>
      <c r="FB26" s="295"/>
      <c r="FC26" s="295"/>
      <c r="FD26" s="295"/>
      <c r="FE26" s="295"/>
      <c r="FF26" s="295"/>
      <c r="FG26" s="295"/>
      <c r="FH26" s="295"/>
      <c r="FI26" s="295"/>
      <c r="FJ26" s="295"/>
      <c r="FK26" s="295"/>
      <c r="FL26" s="295"/>
      <c r="FM26" s="295"/>
      <c r="FN26" s="295"/>
      <c r="FO26" s="295"/>
      <c r="FP26" s="295"/>
      <c r="FQ26" s="295"/>
      <c r="FR26" s="295"/>
      <c r="FS26" s="295"/>
      <c r="FT26" s="295"/>
      <c r="FU26" s="295"/>
      <c r="FV26" s="295"/>
      <c r="FW26" s="295"/>
      <c r="FX26" s="295"/>
      <c r="FY26" s="295"/>
      <c r="FZ26" s="295"/>
      <c r="GA26" s="295"/>
      <c r="GB26" s="295"/>
      <c r="GC26" s="295"/>
      <c r="GD26" s="295"/>
      <c r="GE26" s="295"/>
      <c r="GF26" s="295"/>
      <c r="GG26" s="295"/>
      <c r="GH26" s="295"/>
      <c r="GI26" s="295"/>
      <c r="GJ26" s="295"/>
      <c r="GK26" s="295"/>
      <c r="GL26" s="295"/>
      <c r="GM26" s="295"/>
      <c r="GN26" s="295"/>
      <c r="GO26" s="295"/>
      <c r="GP26" s="295"/>
      <c r="GQ26" s="295"/>
      <c r="GR26" s="295"/>
      <c r="GS26" s="295"/>
      <c r="GT26" s="295"/>
      <c r="GU26" s="295"/>
      <c r="GV26" s="295"/>
      <c r="GW26" s="295"/>
      <c r="GX26" s="295"/>
      <c r="GY26" s="295"/>
      <c r="GZ26" s="295"/>
      <c r="HA26" s="295"/>
      <c r="HB26" s="295"/>
      <c r="HC26" s="295"/>
      <c r="HD26" s="295"/>
      <c r="HE26" s="295"/>
      <c r="HF26" s="295"/>
      <c r="HG26" s="295"/>
      <c r="HH26" s="295"/>
      <c r="HI26" s="295"/>
      <c r="HJ26" s="295"/>
      <c r="HK26" s="295"/>
      <c r="HL26" s="295"/>
      <c r="HM26" s="295"/>
      <c r="HN26" s="295"/>
      <c r="HO26" s="295"/>
      <c r="HP26" s="295"/>
      <c r="HQ26" s="295"/>
      <c r="HR26" s="295"/>
      <c r="HS26" s="295"/>
      <c r="HT26" s="295"/>
      <c r="HU26" s="295"/>
      <c r="HV26" s="295"/>
      <c r="HW26" s="295"/>
      <c r="HX26" s="295"/>
      <c r="HY26" s="295"/>
      <c r="HZ26" s="295"/>
      <c r="IA26" s="295"/>
      <c r="IB26" s="295"/>
      <c r="IC26" s="295"/>
      <c r="ID26" s="295"/>
      <c r="IE26" s="295"/>
      <c r="IF26" s="295"/>
      <c r="IG26" s="295"/>
      <c r="IH26" s="295"/>
      <c r="II26" s="295"/>
      <c r="IJ26" s="295"/>
      <c r="IK26" s="295"/>
      <c r="IL26" s="295"/>
      <c r="IM26" s="295"/>
      <c r="IN26" s="295"/>
      <c r="IO26" s="295"/>
      <c r="IP26" s="295"/>
      <c r="IQ26" s="295"/>
      <c r="IR26" s="295"/>
      <c r="IS26" s="295"/>
      <c r="IT26" s="295"/>
      <c r="IU26" s="295"/>
      <c r="IV26" s="295"/>
      <c r="IW26" s="295"/>
      <c r="IX26" s="295"/>
      <c r="IY26" s="295"/>
      <c r="IZ26" s="295"/>
      <c r="JA26" s="295"/>
      <c r="JB26" s="295"/>
      <c r="JC26" s="295"/>
      <c r="JD26" s="295"/>
      <c r="JE26" s="295"/>
      <c r="JF26" s="295"/>
      <c r="JG26" s="295"/>
      <c r="JH26" s="295"/>
      <c r="JI26" s="295"/>
      <c r="JJ26" s="295"/>
      <c r="JK26" s="295"/>
      <c r="JL26" s="295"/>
      <c r="JM26" s="295"/>
      <c r="JN26" s="295"/>
      <c r="JO26" s="295"/>
      <c r="JP26" s="295"/>
      <c r="JQ26" s="295"/>
      <c r="JR26" s="295"/>
      <c r="JS26" s="295"/>
      <c r="JT26" s="295"/>
      <c r="JU26" s="295"/>
      <c r="JV26" s="295"/>
      <c r="JW26" s="295"/>
      <c r="JX26" s="295"/>
      <c r="JY26" s="295"/>
      <c r="JZ26" s="295"/>
      <c r="KA26" s="295"/>
      <c r="KB26" s="295"/>
      <c r="KC26" s="295"/>
      <c r="KD26" s="295"/>
      <c r="KE26" s="295"/>
      <c r="KF26" s="295"/>
      <c r="KG26" s="295"/>
      <c r="KH26" s="295"/>
      <c r="KI26" s="295"/>
      <c r="KJ26" s="295"/>
      <c r="KK26" s="295"/>
      <c r="KL26" s="295"/>
      <c r="KM26" s="295"/>
      <c r="KN26" s="295"/>
      <c r="KO26" s="295"/>
      <c r="KP26" s="295"/>
      <c r="KQ26" s="295"/>
      <c r="KR26" s="295"/>
      <c r="KS26" s="295"/>
      <c r="KT26" s="295"/>
      <c r="KU26" s="295"/>
      <c r="KV26" s="295"/>
      <c r="KW26" s="295"/>
      <c r="KX26" s="295"/>
      <c r="KY26" s="295"/>
      <c r="KZ26" s="295"/>
      <c r="LA26" s="295"/>
      <c r="LB26" s="295"/>
      <c r="LC26" s="295"/>
      <c r="LD26" s="295"/>
      <c r="LE26" s="295"/>
      <c r="LF26" s="295"/>
      <c r="LG26" s="295"/>
      <c r="LH26" s="295"/>
      <c r="LI26" s="295"/>
      <c r="LJ26" s="295"/>
      <c r="LK26" s="295"/>
      <c r="LL26" s="295"/>
      <c r="LM26" s="295"/>
      <c r="LN26" s="295"/>
      <c r="LO26" s="295"/>
      <c r="LP26" s="295"/>
      <c r="LQ26" s="295"/>
      <c r="LR26" s="295"/>
      <c r="LS26" s="295"/>
      <c r="LT26" s="295"/>
      <c r="LU26" s="295"/>
      <c r="LV26" s="295"/>
      <c r="LW26" s="295"/>
      <c r="LX26" s="295"/>
      <c r="LY26" s="295"/>
      <c r="LZ26" s="295"/>
      <c r="MA26" s="295"/>
      <c r="MB26" s="295"/>
      <c r="MC26" s="295"/>
      <c r="MD26" s="295"/>
      <c r="ME26" s="295"/>
      <c r="MF26" s="295"/>
      <c r="MG26" s="295"/>
      <c r="MH26" s="295"/>
      <c r="MI26" s="295"/>
      <c r="MJ26" s="295"/>
      <c r="MK26" s="295"/>
      <c r="ML26" s="295"/>
      <c r="MM26" s="295"/>
      <c r="MN26" s="295"/>
      <c r="MO26" s="295"/>
      <c r="MP26" s="295"/>
      <c r="MQ26" s="295"/>
      <c r="MR26" s="295"/>
      <c r="MS26" s="295"/>
      <c r="MT26" s="295"/>
      <c r="MU26" s="295"/>
      <c r="MV26" s="295"/>
      <c r="MW26" s="295"/>
      <c r="MX26" s="295"/>
      <c r="MY26" s="295"/>
      <c r="MZ26" s="295"/>
      <c r="NA26" s="295"/>
      <c r="NB26" s="295"/>
      <c r="NC26" s="295"/>
      <c r="ND26" s="295"/>
      <c r="NE26" s="295"/>
      <c r="NF26" s="295"/>
      <c r="NG26" s="295"/>
      <c r="NH26" s="295"/>
      <c r="NI26" s="295"/>
      <c r="NJ26" s="295"/>
      <c r="NK26" s="295"/>
      <c r="NL26" s="295"/>
      <c r="NM26" s="295"/>
      <c r="NN26" s="295"/>
      <c r="NO26" s="295"/>
      <c r="NP26" s="295"/>
      <c r="NQ26" s="295"/>
      <c r="NR26" s="295"/>
      <c r="NS26" s="295"/>
      <c r="NT26" s="295"/>
      <c r="NU26" s="295"/>
      <c r="NV26" s="295"/>
      <c r="NW26" s="295"/>
      <c r="NX26" s="295"/>
      <c r="NY26" s="295"/>
      <c r="NZ26" s="295"/>
      <c r="OA26" s="295"/>
      <c r="OB26" s="295"/>
      <c r="OC26" s="295"/>
      <c r="OD26" s="295"/>
      <c r="OE26" s="295"/>
      <c r="OF26" s="295"/>
      <c r="OG26" s="295"/>
      <c r="OH26" s="295"/>
      <c r="OI26" s="295"/>
      <c r="OJ26" s="295"/>
      <c r="OK26" s="295"/>
      <c r="OL26" s="295"/>
      <c r="OM26" s="295"/>
      <c r="ON26" s="295"/>
      <c r="OO26" s="295"/>
      <c r="OP26" s="295"/>
      <c r="OQ26" s="295"/>
      <c r="OR26" s="295"/>
      <c r="OS26" s="295"/>
      <c r="OT26" s="295"/>
      <c r="OU26" s="295"/>
      <c r="OV26" s="295"/>
      <c r="OW26" s="295"/>
      <c r="OX26" s="295"/>
      <c r="OY26" s="295"/>
      <c r="OZ26" s="295"/>
      <c r="PA26" s="295"/>
      <c r="PB26" s="295"/>
      <c r="PC26" s="295"/>
      <c r="PD26" s="295"/>
      <c r="PE26" s="295"/>
      <c r="PF26" s="295"/>
      <c r="PG26" s="295"/>
      <c r="PH26" s="295"/>
    </row>
    <row r="27" spans="1:424" s="18" customFormat="1" x14ac:dyDescent="0.2">
      <c r="A27" s="295"/>
      <c r="B27" s="8" t="s">
        <v>878</v>
      </c>
      <c r="C27" s="10" t="str">
        <f t="shared" si="25"/>
        <v>119</v>
      </c>
      <c r="D27" s="9" t="str">
        <f t="shared" si="25"/>
        <v>+11,34</v>
      </c>
      <c r="E27" s="10" t="s">
        <v>919</v>
      </c>
      <c r="F27" s="9" t="s">
        <v>920</v>
      </c>
      <c r="G27" s="302">
        <v>94.56</v>
      </c>
      <c r="H27" s="303">
        <f t="shared" si="26"/>
        <v>1.9</v>
      </c>
      <c r="I27" s="303">
        <v>2.0299999999999998</v>
      </c>
      <c r="J27" s="13">
        <f t="shared" si="0"/>
        <v>1.9649999999999999</v>
      </c>
      <c r="K27" s="14">
        <v>710</v>
      </c>
      <c r="L27" s="15">
        <f t="shared" si="14"/>
        <v>94.56</v>
      </c>
      <c r="M27" s="16">
        <v>1.3</v>
      </c>
      <c r="N27" s="14" t="s">
        <v>134</v>
      </c>
      <c r="O27" s="17">
        <f t="shared" si="27"/>
        <v>567.36</v>
      </c>
      <c r="P27" s="13">
        <f t="shared" si="1"/>
        <v>0</v>
      </c>
      <c r="Q27" s="13">
        <f t="shared" si="2"/>
        <v>0</v>
      </c>
      <c r="R27" s="13">
        <f t="shared" si="3"/>
        <v>0</v>
      </c>
      <c r="S27" s="13">
        <f t="shared" si="4"/>
        <v>0</v>
      </c>
      <c r="T27" s="13">
        <f t="shared" si="5"/>
        <v>253.63119599999999</v>
      </c>
      <c r="U27" s="13">
        <f t="shared" si="15"/>
        <v>12.6815598</v>
      </c>
      <c r="V27" s="13">
        <f t="shared" si="16"/>
        <v>240.94963619999999</v>
      </c>
      <c r="W27" s="13">
        <f t="shared" ref="W27:W38" si="28">IF($J27&lt;=1.5,U27*0.95,0)</f>
        <v>0</v>
      </c>
      <c r="X27" s="13">
        <f t="shared" ref="X27:X38" si="29">IF($J27&lt;=1.5,U27*0.05,0)</f>
        <v>0</v>
      </c>
      <c r="Y27" s="13">
        <f>IF(AND($J27&lt;=3,$J27&gt;1.5),U27*0.95,0)</f>
        <v>12.047481810000001</v>
      </c>
      <c r="Z27" s="13">
        <f>IF(AND($J27&lt;=3,$J27&gt;1.5),U27*0.05,0)</f>
        <v>0.63407799000000009</v>
      </c>
      <c r="AA27" s="13">
        <f t="shared" si="8"/>
        <v>0</v>
      </c>
      <c r="AB27" s="13">
        <f>IF($J27&lt;=1.5,V27*0.94,0)</f>
        <v>0</v>
      </c>
      <c r="AC27" s="13">
        <f>IF($J27&lt;=1.5,V27*0.05,0)</f>
        <v>0</v>
      </c>
      <c r="AD27" s="13">
        <f>IF(AND($J27&gt;1.5,$J27&lt;=3),V27*0.77,0)</f>
        <v>185.53121987399999</v>
      </c>
      <c r="AE27" s="13">
        <f>IF(AND($J27&gt;1.5,$J27&lt;=3),V27*0.2,0)</f>
        <v>48.189927240000003</v>
      </c>
      <c r="AF27" s="13">
        <f t="shared" si="23"/>
        <v>0</v>
      </c>
      <c r="AG27" s="13">
        <f t="shared" si="24"/>
        <v>0</v>
      </c>
      <c r="AH27" s="13">
        <f t="shared" si="9"/>
        <v>7.2284890859999997</v>
      </c>
      <c r="AI27" s="13">
        <f t="shared" si="10"/>
        <v>122.92800000000001</v>
      </c>
      <c r="AJ27" s="13">
        <f t="shared" si="11"/>
        <v>253.63119599999999</v>
      </c>
      <c r="AK27" s="13">
        <f t="shared" si="12"/>
        <v>371.62079999999997</v>
      </c>
      <c r="AL27" s="13">
        <f t="shared" si="13"/>
        <v>0</v>
      </c>
      <c r="AM27" s="295"/>
      <c r="AN27" s="295"/>
      <c r="AO27" s="295"/>
      <c r="AP27" s="295"/>
      <c r="AQ27" s="295"/>
      <c r="AR27" s="295"/>
      <c r="AS27" s="295"/>
      <c r="AT27" s="295"/>
      <c r="AU27" s="295"/>
      <c r="AV27" s="295"/>
      <c r="AW27" s="295"/>
      <c r="AX27" s="295"/>
      <c r="AY27" s="295"/>
      <c r="AZ27" s="295"/>
      <c r="BA27" s="295"/>
      <c r="BB27" s="295"/>
      <c r="BC27" s="295"/>
      <c r="BD27" s="295"/>
      <c r="BE27" s="295"/>
      <c r="BF27" s="295"/>
      <c r="BG27" s="295"/>
      <c r="BH27" s="295"/>
      <c r="BI27" s="295"/>
      <c r="BJ27" s="295"/>
      <c r="BK27" s="295"/>
      <c r="BL27" s="295"/>
      <c r="BM27" s="295"/>
      <c r="BN27" s="295"/>
      <c r="BO27" s="295"/>
      <c r="BP27" s="295"/>
      <c r="BQ27" s="295"/>
      <c r="BR27" s="295"/>
      <c r="BS27" s="295"/>
      <c r="BT27" s="295"/>
      <c r="BU27" s="295"/>
      <c r="BV27" s="295"/>
      <c r="BW27" s="295"/>
      <c r="BX27" s="295"/>
      <c r="BY27" s="295"/>
      <c r="BZ27" s="295"/>
      <c r="CA27" s="295"/>
      <c r="CB27" s="295"/>
      <c r="CC27" s="295"/>
      <c r="CD27" s="295"/>
      <c r="CE27" s="295"/>
      <c r="CF27" s="295"/>
      <c r="CG27" s="295"/>
      <c r="CH27" s="295"/>
      <c r="CI27" s="295"/>
      <c r="CJ27" s="295"/>
      <c r="CK27" s="295"/>
      <c r="CL27" s="295"/>
      <c r="CM27" s="295"/>
      <c r="CN27" s="295"/>
      <c r="CO27" s="295"/>
      <c r="CP27" s="295"/>
      <c r="CQ27" s="295"/>
      <c r="CR27" s="295"/>
      <c r="CS27" s="295"/>
      <c r="CT27" s="295"/>
      <c r="CU27" s="295"/>
      <c r="CV27" s="295"/>
      <c r="CW27" s="295"/>
      <c r="CX27" s="295"/>
      <c r="CY27" s="295"/>
      <c r="CZ27" s="295"/>
      <c r="DA27" s="295"/>
      <c r="DB27" s="295"/>
      <c r="DC27" s="295"/>
      <c r="DD27" s="295"/>
      <c r="DE27" s="295"/>
      <c r="DF27" s="295"/>
      <c r="DG27" s="295"/>
      <c r="DH27" s="295"/>
      <c r="DI27" s="295"/>
      <c r="DJ27" s="295"/>
      <c r="DK27" s="295"/>
      <c r="DL27" s="295"/>
      <c r="DM27" s="295"/>
      <c r="DN27" s="295"/>
      <c r="DO27" s="295"/>
      <c r="DP27" s="295"/>
      <c r="DQ27" s="295"/>
      <c r="DR27" s="295"/>
      <c r="DS27" s="295"/>
      <c r="DT27" s="295"/>
      <c r="DU27" s="295"/>
      <c r="DV27" s="295"/>
      <c r="DW27" s="295"/>
      <c r="DX27" s="295"/>
      <c r="DY27" s="295"/>
      <c r="DZ27" s="295"/>
      <c r="EA27" s="295"/>
      <c r="EB27" s="295"/>
      <c r="EC27" s="295"/>
      <c r="ED27" s="295"/>
      <c r="EE27" s="295"/>
      <c r="EF27" s="295"/>
      <c r="EG27" s="295"/>
      <c r="EH27" s="295"/>
      <c r="EI27" s="295"/>
      <c r="EJ27" s="295"/>
      <c r="EK27" s="295"/>
      <c r="EL27" s="295"/>
      <c r="EM27" s="295"/>
      <c r="EN27" s="295"/>
      <c r="EO27" s="295"/>
      <c r="EP27" s="295"/>
      <c r="EQ27" s="295"/>
      <c r="ER27" s="295"/>
      <c r="ES27" s="295"/>
      <c r="ET27" s="295"/>
      <c r="EU27" s="295"/>
      <c r="EV27" s="295"/>
      <c r="EW27" s="295"/>
      <c r="EX27" s="295"/>
      <c r="EY27" s="295"/>
      <c r="EZ27" s="295"/>
      <c r="FA27" s="295"/>
      <c r="FB27" s="295"/>
      <c r="FC27" s="295"/>
      <c r="FD27" s="295"/>
      <c r="FE27" s="295"/>
      <c r="FF27" s="295"/>
      <c r="FG27" s="295"/>
      <c r="FH27" s="295"/>
      <c r="FI27" s="295"/>
      <c r="FJ27" s="295"/>
      <c r="FK27" s="295"/>
      <c r="FL27" s="295"/>
      <c r="FM27" s="295"/>
      <c r="FN27" s="295"/>
      <c r="FO27" s="295"/>
      <c r="FP27" s="295"/>
      <c r="FQ27" s="295"/>
      <c r="FR27" s="295"/>
      <c r="FS27" s="295"/>
      <c r="FT27" s="295"/>
      <c r="FU27" s="295"/>
      <c r="FV27" s="295"/>
      <c r="FW27" s="295"/>
      <c r="FX27" s="295"/>
      <c r="FY27" s="295"/>
      <c r="FZ27" s="295"/>
      <c r="GA27" s="295"/>
      <c r="GB27" s="295"/>
      <c r="GC27" s="295"/>
      <c r="GD27" s="295"/>
      <c r="GE27" s="295"/>
      <c r="GF27" s="295"/>
      <c r="GG27" s="295"/>
      <c r="GH27" s="295"/>
      <c r="GI27" s="295"/>
      <c r="GJ27" s="295"/>
      <c r="GK27" s="295"/>
      <c r="GL27" s="295"/>
      <c r="GM27" s="295"/>
      <c r="GN27" s="295"/>
      <c r="GO27" s="295"/>
      <c r="GP27" s="295"/>
      <c r="GQ27" s="295"/>
      <c r="GR27" s="295"/>
      <c r="GS27" s="295"/>
      <c r="GT27" s="295"/>
      <c r="GU27" s="295"/>
      <c r="GV27" s="295"/>
      <c r="GW27" s="295"/>
      <c r="GX27" s="295"/>
      <c r="GY27" s="295"/>
      <c r="GZ27" s="295"/>
      <c r="HA27" s="295"/>
      <c r="HB27" s="295"/>
      <c r="HC27" s="295"/>
      <c r="HD27" s="295"/>
      <c r="HE27" s="295"/>
      <c r="HF27" s="295"/>
      <c r="HG27" s="295"/>
      <c r="HH27" s="295"/>
      <c r="HI27" s="295"/>
      <c r="HJ27" s="295"/>
      <c r="HK27" s="295"/>
      <c r="HL27" s="295"/>
      <c r="HM27" s="295"/>
      <c r="HN27" s="295"/>
      <c r="HO27" s="295"/>
      <c r="HP27" s="295"/>
      <c r="HQ27" s="295"/>
      <c r="HR27" s="295"/>
      <c r="HS27" s="295"/>
      <c r="HT27" s="295"/>
      <c r="HU27" s="295"/>
      <c r="HV27" s="295"/>
      <c r="HW27" s="295"/>
      <c r="HX27" s="295"/>
      <c r="HY27" s="295"/>
      <c r="HZ27" s="295"/>
      <c r="IA27" s="295"/>
      <c r="IB27" s="295"/>
      <c r="IC27" s="295"/>
      <c r="ID27" s="295"/>
      <c r="IE27" s="295"/>
      <c r="IF27" s="295"/>
      <c r="IG27" s="295"/>
      <c r="IH27" s="295"/>
      <c r="II27" s="295"/>
      <c r="IJ27" s="295"/>
      <c r="IK27" s="295"/>
      <c r="IL27" s="295"/>
      <c r="IM27" s="295"/>
      <c r="IN27" s="295"/>
      <c r="IO27" s="295"/>
      <c r="IP27" s="295"/>
      <c r="IQ27" s="295"/>
      <c r="IR27" s="295"/>
      <c r="IS27" s="295"/>
      <c r="IT27" s="295"/>
      <c r="IU27" s="295"/>
      <c r="IV27" s="295"/>
      <c r="IW27" s="295"/>
      <c r="IX27" s="295"/>
      <c r="IY27" s="295"/>
      <c r="IZ27" s="295"/>
      <c r="JA27" s="295"/>
      <c r="JB27" s="295"/>
      <c r="JC27" s="295"/>
      <c r="JD27" s="295"/>
      <c r="JE27" s="295"/>
      <c r="JF27" s="295"/>
      <c r="JG27" s="295"/>
      <c r="JH27" s="295"/>
      <c r="JI27" s="295"/>
      <c r="JJ27" s="295"/>
      <c r="JK27" s="295"/>
      <c r="JL27" s="295"/>
      <c r="JM27" s="295"/>
      <c r="JN27" s="295"/>
      <c r="JO27" s="295"/>
      <c r="JP27" s="295"/>
      <c r="JQ27" s="295"/>
      <c r="JR27" s="295"/>
      <c r="JS27" s="295"/>
      <c r="JT27" s="295"/>
      <c r="JU27" s="295"/>
      <c r="JV27" s="295"/>
      <c r="JW27" s="295"/>
      <c r="JX27" s="295"/>
      <c r="JY27" s="295"/>
      <c r="JZ27" s="295"/>
      <c r="KA27" s="295"/>
      <c r="KB27" s="295"/>
      <c r="KC27" s="295"/>
      <c r="KD27" s="295"/>
      <c r="KE27" s="295"/>
      <c r="KF27" s="295"/>
      <c r="KG27" s="295"/>
      <c r="KH27" s="295"/>
      <c r="KI27" s="295"/>
      <c r="KJ27" s="295"/>
      <c r="KK27" s="295"/>
      <c r="KL27" s="295"/>
      <c r="KM27" s="295"/>
      <c r="KN27" s="295"/>
      <c r="KO27" s="295"/>
      <c r="KP27" s="295"/>
      <c r="KQ27" s="295"/>
      <c r="KR27" s="295"/>
      <c r="KS27" s="295"/>
      <c r="KT27" s="295"/>
      <c r="KU27" s="295"/>
      <c r="KV27" s="295"/>
      <c r="KW27" s="295"/>
      <c r="KX27" s="295"/>
      <c r="KY27" s="295"/>
      <c r="KZ27" s="295"/>
      <c r="LA27" s="295"/>
      <c r="LB27" s="295"/>
      <c r="LC27" s="295"/>
      <c r="LD27" s="295"/>
      <c r="LE27" s="295"/>
      <c r="LF27" s="295"/>
      <c r="LG27" s="295"/>
      <c r="LH27" s="295"/>
      <c r="LI27" s="295"/>
      <c r="LJ27" s="295"/>
      <c r="LK27" s="295"/>
      <c r="LL27" s="295"/>
      <c r="LM27" s="295"/>
      <c r="LN27" s="295"/>
      <c r="LO27" s="295"/>
      <c r="LP27" s="295"/>
      <c r="LQ27" s="295"/>
      <c r="LR27" s="295"/>
      <c r="LS27" s="295"/>
      <c r="LT27" s="295"/>
      <c r="LU27" s="295"/>
      <c r="LV27" s="295"/>
      <c r="LW27" s="295"/>
      <c r="LX27" s="295"/>
      <c r="LY27" s="295"/>
      <c r="LZ27" s="295"/>
      <c r="MA27" s="295"/>
      <c r="MB27" s="295"/>
      <c r="MC27" s="295"/>
      <c r="MD27" s="295"/>
      <c r="ME27" s="295"/>
      <c r="MF27" s="295"/>
      <c r="MG27" s="295"/>
      <c r="MH27" s="295"/>
      <c r="MI27" s="295"/>
      <c r="MJ27" s="295"/>
      <c r="MK27" s="295"/>
      <c r="ML27" s="295"/>
      <c r="MM27" s="295"/>
      <c r="MN27" s="295"/>
      <c r="MO27" s="295"/>
      <c r="MP27" s="295"/>
      <c r="MQ27" s="295"/>
      <c r="MR27" s="295"/>
      <c r="MS27" s="295"/>
      <c r="MT27" s="295"/>
      <c r="MU27" s="295"/>
      <c r="MV27" s="295"/>
      <c r="MW27" s="295"/>
      <c r="MX27" s="295"/>
      <c r="MY27" s="295"/>
      <c r="MZ27" s="295"/>
      <c r="NA27" s="295"/>
      <c r="NB27" s="295"/>
      <c r="NC27" s="295"/>
      <c r="ND27" s="295"/>
      <c r="NE27" s="295"/>
      <c r="NF27" s="295"/>
      <c r="NG27" s="295"/>
      <c r="NH27" s="295"/>
      <c r="NI27" s="295"/>
      <c r="NJ27" s="295"/>
      <c r="NK27" s="295"/>
      <c r="NL27" s="295"/>
      <c r="NM27" s="295"/>
      <c r="NN27" s="295"/>
      <c r="NO27" s="295"/>
      <c r="NP27" s="295"/>
      <c r="NQ27" s="295"/>
      <c r="NR27" s="295"/>
      <c r="NS27" s="295"/>
      <c r="NT27" s="295"/>
      <c r="NU27" s="295"/>
      <c r="NV27" s="295"/>
      <c r="NW27" s="295"/>
      <c r="NX27" s="295"/>
      <c r="NY27" s="295"/>
      <c r="NZ27" s="295"/>
      <c r="OA27" s="295"/>
      <c r="OB27" s="295"/>
      <c r="OC27" s="295"/>
      <c r="OD27" s="295"/>
      <c r="OE27" s="295"/>
      <c r="OF27" s="295"/>
      <c r="OG27" s="295"/>
      <c r="OH27" s="295"/>
      <c r="OI27" s="295"/>
      <c r="OJ27" s="295"/>
      <c r="OK27" s="295"/>
      <c r="OL27" s="295"/>
      <c r="OM27" s="295"/>
      <c r="ON27" s="295"/>
      <c r="OO27" s="295"/>
      <c r="OP27" s="295"/>
      <c r="OQ27" s="295"/>
      <c r="OR27" s="295"/>
      <c r="OS27" s="295"/>
      <c r="OT27" s="295"/>
      <c r="OU27" s="295"/>
      <c r="OV27" s="295"/>
      <c r="OW27" s="295"/>
      <c r="OX27" s="295"/>
      <c r="OY27" s="295"/>
      <c r="OZ27" s="295"/>
      <c r="PA27" s="295"/>
      <c r="PB27" s="295"/>
      <c r="PC27" s="295"/>
      <c r="PD27" s="295"/>
      <c r="PE27" s="295"/>
      <c r="PF27" s="295"/>
      <c r="PG27" s="295"/>
      <c r="PH27" s="295"/>
    </row>
    <row r="28" spans="1:424" s="18" customFormat="1" x14ac:dyDescent="0.2">
      <c r="A28" s="295"/>
      <c r="B28" s="8" t="s">
        <v>878</v>
      </c>
      <c r="C28" s="10" t="str">
        <f t="shared" si="25"/>
        <v>124</v>
      </c>
      <c r="D28" s="9" t="str">
        <f t="shared" si="25"/>
        <v>+05,90</v>
      </c>
      <c r="E28" s="10" t="s">
        <v>921</v>
      </c>
      <c r="F28" s="9" t="s">
        <v>922</v>
      </c>
      <c r="G28" s="302">
        <v>352.4</v>
      </c>
      <c r="H28" s="303">
        <f t="shared" si="26"/>
        <v>2.0299999999999998</v>
      </c>
      <c r="I28" s="303">
        <v>1.9</v>
      </c>
      <c r="J28" s="13">
        <f t="shared" si="0"/>
        <v>1.9649999999999999</v>
      </c>
      <c r="K28" s="14">
        <v>710</v>
      </c>
      <c r="L28" s="15">
        <f t="shared" si="14"/>
        <v>352.4</v>
      </c>
      <c r="M28" s="16">
        <v>1.3</v>
      </c>
      <c r="N28" s="14" t="s">
        <v>134</v>
      </c>
      <c r="O28" s="17">
        <f t="shared" si="27"/>
        <v>2114.3999999999996</v>
      </c>
      <c r="P28" s="13">
        <f t="shared" si="1"/>
        <v>0</v>
      </c>
      <c r="Q28" s="13">
        <f t="shared" si="2"/>
        <v>0</v>
      </c>
      <c r="R28" s="13">
        <f t="shared" si="3"/>
        <v>0</v>
      </c>
      <c r="S28" s="13">
        <f t="shared" si="4"/>
        <v>0</v>
      </c>
      <c r="T28" s="13">
        <f t="shared" si="5"/>
        <v>945.21608999999989</v>
      </c>
      <c r="U28" s="13">
        <f t="shared" si="15"/>
        <v>47.260804499999999</v>
      </c>
      <c r="V28" s="13">
        <f t="shared" si="16"/>
        <v>897.95528549999983</v>
      </c>
      <c r="W28" s="13">
        <f t="shared" si="28"/>
        <v>0</v>
      </c>
      <c r="X28" s="13">
        <f t="shared" si="29"/>
        <v>0</v>
      </c>
      <c r="Y28" s="13">
        <f t="shared" ref="Y28:Y38" si="30">IF(AND($J28&lt;=3,$J28&gt;1.5),U28*0.95,0)</f>
        <v>44.897764275</v>
      </c>
      <c r="Z28" s="13">
        <f t="shared" ref="Z28:Z38" si="31">IF(AND($J28&lt;=3,$J28&gt;1.5),U28*0.05,0)</f>
        <v>2.3630402250000002</v>
      </c>
      <c r="AA28" s="13">
        <f t="shared" si="8"/>
        <v>0</v>
      </c>
      <c r="AB28" s="13">
        <f t="shared" ref="AB28:AB38" si="32">IF($J28&lt;=1.5,V28*0.94,0)</f>
        <v>0</v>
      </c>
      <c r="AC28" s="13">
        <f>IF($J28&lt;=1.5,V28*0.05,0)</f>
        <v>0</v>
      </c>
      <c r="AD28" s="13">
        <f t="shared" ref="AD28:AD38" si="33">IF(AND($J28&gt;1.5,$J28&lt;=3),V28*0.77,0)</f>
        <v>691.42556983499992</v>
      </c>
      <c r="AE28" s="13">
        <f t="shared" ref="AE28:AE38" si="34">IF(AND($J28&gt;1.5,$J28&lt;=3),V28*0.2,0)</f>
        <v>179.59105709999997</v>
      </c>
      <c r="AF28" s="13">
        <f t="shared" si="23"/>
        <v>0</v>
      </c>
      <c r="AG28" s="13">
        <f t="shared" si="24"/>
        <v>0</v>
      </c>
      <c r="AH28" s="13">
        <f t="shared" si="9"/>
        <v>26.938658564999994</v>
      </c>
      <c r="AI28" s="13">
        <f t="shared" si="10"/>
        <v>458.12</v>
      </c>
      <c r="AJ28" s="13">
        <f t="shared" si="11"/>
        <v>945.21608999999989</v>
      </c>
      <c r="AK28" s="13">
        <f t="shared" si="12"/>
        <v>1384.9319999999998</v>
      </c>
      <c r="AL28" s="13">
        <f t="shared" si="13"/>
        <v>0</v>
      </c>
      <c r="AM28" s="295"/>
      <c r="AN28" s="295"/>
      <c r="AO28" s="295"/>
      <c r="AP28" s="295"/>
      <c r="AQ28" s="295"/>
      <c r="AR28" s="295"/>
      <c r="AS28" s="295"/>
      <c r="AT28" s="295"/>
      <c r="AU28" s="295"/>
      <c r="AV28" s="295"/>
      <c r="AW28" s="295"/>
      <c r="AX28" s="295"/>
      <c r="AY28" s="295"/>
      <c r="AZ28" s="295"/>
      <c r="BA28" s="295"/>
      <c r="BB28" s="295"/>
      <c r="BC28" s="295"/>
      <c r="BD28" s="295"/>
      <c r="BE28" s="295"/>
      <c r="BF28" s="295"/>
      <c r="BG28" s="295"/>
      <c r="BH28" s="295"/>
      <c r="BI28" s="295"/>
      <c r="BJ28" s="295"/>
      <c r="BK28" s="295"/>
      <c r="BL28" s="295"/>
      <c r="BM28" s="295"/>
      <c r="BN28" s="295"/>
      <c r="BO28" s="295"/>
      <c r="BP28" s="295"/>
      <c r="BQ28" s="295"/>
      <c r="BR28" s="295"/>
      <c r="BS28" s="295"/>
      <c r="BT28" s="295"/>
      <c r="BU28" s="295"/>
      <c r="BV28" s="295"/>
      <c r="BW28" s="295"/>
      <c r="BX28" s="295"/>
      <c r="BY28" s="295"/>
      <c r="BZ28" s="295"/>
      <c r="CA28" s="295"/>
      <c r="CB28" s="295"/>
      <c r="CC28" s="295"/>
      <c r="CD28" s="295"/>
      <c r="CE28" s="295"/>
      <c r="CF28" s="295"/>
      <c r="CG28" s="295"/>
      <c r="CH28" s="295"/>
      <c r="CI28" s="295"/>
      <c r="CJ28" s="295"/>
      <c r="CK28" s="295"/>
      <c r="CL28" s="295"/>
      <c r="CM28" s="295"/>
      <c r="CN28" s="295"/>
      <c r="CO28" s="295"/>
      <c r="CP28" s="295"/>
      <c r="CQ28" s="295"/>
      <c r="CR28" s="295"/>
      <c r="CS28" s="295"/>
      <c r="CT28" s="295"/>
      <c r="CU28" s="295"/>
      <c r="CV28" s="295"/>
      <c r="CW28" s="295"/>
      <c r="CX28" s="295"/>
      <c r="CY28" s="295"/>
      <c r="CZ28" s="295"/>
      <c r="DA28" s="295"/>
      <c r="DB28" s="295"/>
      <c r="DC28" s="295"/>
      <c r="DD28" s="295"/>
      <c r="DE28" s="295"/>
      <c r="DF28" s="295"/>
      <c r="DG28" s="295"/>
      <c r="DH28" s="295"/>
      <c r="DI28" s="295"/>
      <c r="DJ28" s="295"/>
      <c r="DK28" s="295"/>
      <c r="DL28" s="295"/>
      <c r="DM28" s="295"/>
      <c r="DN28" s="295"/>
      <c r="DO28" s="295"/>
      <c r="DP28" s="295"/>
      <c r="DQ28" s="295"/>
      <c r="DR28" s="295"/>
      <c r="DS28" s="295"/>
      <c r="DT28" s="295"/>
      <c r="DU28" s="295"/>
      <c r="DV28" s="295"/>
      <c r="DW28" s="295"/>
      <c r="DX28" s="295"/>
      <c r="DY28" s="295"/>
      <c r="DZ28" s="295"/>
      <c r="EA28" s="295"/>
      <c r="EB28" s="295"/>
      <c r="EC28" s="295"/>
      <c r="ED28" s="295"/>
      <c r="EE28" s="295"/>
      <c r="EF28" s="295"/>
      <c r="EG28" s="295"/>
      <c r="EH28" s="295"/>
      <c r="EI28" s="295"/>
      <c r="EJ28" s="295"/>
      <c r="EK28" s="295"/>
      <c r="EL28" s="295"/>
      <c r="EM28" s="295"/>
      <c r="EN28" s="295"/>
      <c r="EO28" s="295"/>
      <c r="EP28" s="295"/>
      <c r="EQ28" s="295"/>
      <c r="ER28" s="295"/>
      <c r="ES28" s="295"/>
      <c r="ET28" s="295"/>
      <c r="EU28" s="295"/>
      <c r="EV28" s="295"/>
      <c r="EW28" s="295"/>
      <c r="EX28" s="295"/>
      <c r="EY28" s="295"/>
      <c r="EZ28" s="295"/>
      <c r="FA28" s="295"/>
      <c r="FB28" s="295"/>
      <c r="FC28" s="295"/>
      <c r="FD28" s="295"/>
      <c r="FE28" s="295"/>
      <c r="FF28" s="295"/>
      <c r="FG28" s="295"/>
      <c r="FH28" s="295"/>
      <c r="FI28" s="295"/>
      <c r="FJ28" s="295"/>
      <c r="FK28" s="295"/>
      <c r="FL28" s="295"/>
      <c r="FM28" s="295"/>
      <c r="FN28" s="295"/>
      <c r="FO28" s="295"/>
      <c r="FP28" s="295"/>
      <c r="FQ28" s="295"/>
      <c r="FR28" s="295"/>
      <c r="FS28" s="295"/>
      <c r="FT28" s="295"/>
      <c r="FU28" s="295"/>
      <c r="FV28" s="295"/>
      <c r="FW28" s="295"/>
      <c r="FX28" s="295"/>
      <c r="FY28" s="295"/>
      <c r="FZ28" s="295"/>
      <c r="GA28" s="295"/>
      <c r="GB28" s="295"/>
      <c r="GC28" s="295"/>
      <c r="GD28" s="295"/>
      <c r="GE28" s="295"/>
      <c r="GF28" s="295"/>
      <c r="GG28" s="295"/>
      <c r="GH28" s="295"/>
      <c r="GI28" s="295"/>
      <c r="GJ28" s="295"/>
      <c r="GK28" s="295"/>
      <c r="GL28" s="295"/>
      <c r="GM28" s="295"/>
      <c r="GN28" s="295"/>
      <c r="GO28" s="295"/>
      <c r="GP28" s="295"/>
      <c r="GQ28" s="295"/>
      <c r="GR28" s="295"/>
      <c r="GS28" s="295"/>
      <c r="GT28" s="295"/>
      <c r="GU28" s="295"/>
      <c r="GV28" s="295"/>
      <c r="GW28" s="295"/>
      <c r="GX28" s="295"/>
      <c r="GY28" s="295"/>
      <c r="GZ28" s="295"/>
      <c r="HA28" s="295"/>
      <c r="HB28" s="295"/>
      <c r="HC28" s="295"/>
      <c r="HD28" s="295"/>
      <c r="HE28" s="295"/>
      <c r="HF28" s="295"/>
      <c r="HG28" s="295"/>
      <c r="HH28" s="295"/>
      <c r="HI28" s="295"/>
      <c r="HJ28" s="295"/>
      <c r="HK28" s="295"/>
      <c r="HL28" s="295"/>
      <c r="HM28" s="295"/>
      <c r="HN28" s="295"/>
      <c r="HO28" s="295"/>
      <c r="HP28" s="295"/>
      <c r="HQ28" s="295"/>
      <c r="HR28" s="295"/>
      <c r="HS28" s="295"/>
      <c r="HT28" s="295"/>
      <c r="HU28" s="295"/>
      <c r="HV28" s="295"/>
      <c r="HW28" s="295"/>
      <c r="HX28" s="295"/>
      <c r="HY28" s="295"/>
      <c r="HZ28" s="295"/>
      <c r="IA28" s="295"/>
      <c r="IB28" s="295"/>
      <c r="IC28" s="295"/>
      <c r="ID28" s="295"/>
      <c r="IE28" s="295"/>
      <c r="IF28" s="295"/>
      <c r="IG28" s="295"/>
      <c r="IH28" s="295"/>
      <c r="II28" s="295"/>
      <c r="IJ28" s="295"/>
      <c r="IK28" s="295"/>
      <c r="IL28" s="295"/>
      <c r="IM28" s="295"/>
      <c r="IN28" s="295"/>
      <c r="IO28" s="295"/>
      <c r="IP28" s="295"/>
      <c r="IQ28" s="295"/>
      <c r="IR28" s="295"/>
      <c r="IS28" s="295"/>
      <c r="IT28" s="295"/>
      <c r="IU28" s="295"/>
      <c r="IV28" s="295"/>
      <c r="IW28" s="295"/>
      <c r="IX28" s="295"/>
      <c r="IY28" s="295"/>
      <c r="IZ28" s="295"/>
      <c r="JA28" s="295"/>
      <c r="JB28" s="295"/>
      <c r="JC28" s="295"/>
      <c r="JD28" s="295"/>
      <c r="JE28" s="295"/>
      <c r="JF28" s="295"/>
      <c r="JG28" s="295"/>
      <c r="JH28" s="295"/>
      <c r="JI28" s="295"/>
      <c r="JJ28" s="295"/>
      <c r="JK28" s="295"/>
      <c r="JL28" s="295"/>
      <c r="JM28" s="295"/>
      <c r="JN28" s="295"/>
      <c r="JO28" s="295"/>
      <c r="JP28" s="295"/>
      <c r="JQ28" s="295"/>
      <c r="JR28" s="295"/>
      <c r="JS28" s="295"/>
      <c r="JT28" s="295"/>
      <c r="JU28" s="295"/>
      <c r="JV28" s="295"/>
      <c r="JW28" s="295"/>
      <c r="JX28" s="295"/>
      <c r="JY28" s="295"/>
      <c r="JZ28" s="295"/>
      <c r="KA28" s="295"/>
      <c r="KB28" s="295"/>
      <c r="KC28" s="295"/>
      <c r="KD28" s="295"/>
      <c r="KE28" s="295"/>
      <c r="KF28" s="295"/>
      <c r="KG28" s="295"/>
      <c r="KH28" s="295"/>
      <c r="KI28" s="295"/>
      <c r="KJ28" s="295"/>
      <c r="KK28" s="295"/>
      <c r="KL28" s="295"/>
      <c r="KM28" s="295"/>
      <c r="KN28" s="295"/>
      <c r="KO28" s="295"/>
      <c r="KP28" s="295"/>
      <c r="KQ28" s="295"/>
      <c r="KR28" s="295"/>
      <c r="KS28" s="295"/>
      <c r="KT28" s="295"/>
      <c r="KU28" s="295"/>
      <c r="KV28" s="295"/>
      <c r="KW28" s="295"/>
      <c r="KX28" s="295"/>
      <c r="KY28" s="295"/>
      <c r="KZ28" s="295"/>
      <c r="LA28" s="295"/>
      <c r="LB28" s="295"/>
      <c r="LC28" s="295"/>
      <c r="LD28" s="295"/>
      <c r="LE28" s="295"/>
      <c r="LF28" s="295"/>
      <c r="LG28" s="295"/>
      <c r="LH28" s="295"/>
      <c r="LI28" s="295"/>
      <c r="LJ28" s="295"/>
      <c r="LK28" s="295"/>
      <c r="LL28" s="295"/>
      <c r="LM28" s="295"/>
      <c r="LN28" s="295"/>
      <c r="LO28" s="295"/>
      <c r="LP28" s="295"/>
      <c r="LQ28" s="295"/>
      <c r="LR28" s="295"/>
      <c r="LS28" s="295"/>
      <c r="LT28" s="295"/>
      <c r="LU28" s="295"/>
      <c r="LV28" s="295"/>
      <c r="LW28" s="295"/>
      <c r="LX28" s="295"/>
      <c r="LY28" s="295"/>
      <c r="LZ28" s="295"/>
      <c r="MA28" s="295"/>
      <c r="MB28" s="295"/>
      <c r="MC28" s="295"/>
      <c r="MD28" s="295"/>
      <c r="ME28" s="295"/>
      <c r="MF28" s="295"/>
      <c r="MG28" s="295"/>
      <c r="MH28" s="295"/>
      <c r="MI28" s="295"/>
      <c r="MJ28" s="295"/>
      <c r="MK28" s="295"/>
      <c r="ML28" s="295"/>
      <c r="MM28" s="295"/>
      <c r="MN28" s="295"/>
      <c r="MO28" s="295"/>
      <c r="MP28" s="295"/>
      <c r="MQ28" s="295"/>
      <c r="MR28" s="295"/>
      <c r="MS28" s="295"/>
      <c r="MT28" s="295"/>
      <c r="MU28" s="295"/>
      <c r="MV28" s="295"/>
      <c r="MW28" s="295"/>
      <c r="MX28" s="295"/>
      <c r="MY28" s="295"/>
      <c r="MZ28" s="295"/>
      <c r="NA28" s="295"/>
      <c r="NB28" s="295"/>
      <c r="NC28" s="295"/>
      <c r="ND28" s="295"/>
      <c r="NE28" s="295"/>
      <c r="NF28" s="295"/>
      <c r="NG28" s="295"/>
      <c r="NH28" s="295"/>
      <c r="NI28" s="295"/>
      <c r="NJ28" s="295"/>
      <c r="NK28" s="295"/>
      <c r="NL28" s="295"/>
      <c r="NM28" s="295"/>
      <c r="NN28" s="295"/>
      <c r="NO28" s="295"/>
      <c r="NP28" s="295"/>
      <c r="NQ28" s="295"/>
      <c r="NR28" s="295"/>
      <c r="NS28" s="295"/>
      <c r="NT28" s="295"/>
      <c r="NU28" s="295"/>
      <c r="NV28" s="295"/>
      <c r="NW28" s="295"/>
      <c r="NX28" s="295"/>
      <c r="NY28" s="295"/>
      <c r="NZ28" s="295"/>
      <c r="OA28" s="295"/>
      <c r="OB28" s="295"/>
      <c r="OC28" s="295"/>
      <c r="OD28" s="295"/>
      <c r="OE28" s="295"/>
      <c r="OF28" s="295"/>
      <c r="OG28" s="295"/>
      <c r="OH28" s="295"/>
      <c r="OI28" s="295"/>
      <c r="OJ28" s="295"/>
      <c r="OK28" s="295"/>
      <c r="OL28" s="295"/>
      <c r="OM28" s="295"/>
      <c r="ON28" s="295"/>
      <c r="OO28" s="295"/>
      <c r="OP28" s="295"/>
      <c r="OQ28" s="295"/>
      <c r="OR28" s="295"/>
      <c r="OS28" s="295"/>
      <c r="OT28" s="295"/>
      <c r="OU28" s="295"/>
      <c r="OV28" s="295"/>
      <c r="OW28" s="295"/>
      <c r="OX28" s="295"/>
      <c r="OY28" s="295"/>
      <c r="OZ28" s="295"/>
      <c r="PA28" s="295"/>
      <c r="PB28" s="295"/>
      <c r="PC28" s="295"/>
      <c r="PD28" s="295"/>
      <c r="PE28" s="295"/>
      <c r="PF28" s="295"/>
      <c r="PG28" s="295"/>
      <c r="PH28" s="295"/>
    </row>
    <row r="29" spans="1:424" s="18" customFormat="1" x14ac:dyDescent="0.2">
      <c r="A29" s="295"/>
      <c r="B29" s="8" t="s">
        <v>878</v>
      </c>
      <c r="C29" s="10" t="str">
        <f t="shared" si="25"/>
        <v>141</v>
      </c>
      <c r="D29" s="9" t="str">
        <f t="shared" si="25"/>
        <v>+18,30</v>
      </c>
      <c r="E29" s="10" t="s">
        <v>923</v>
      </c>
      <c r="F29" s="9" t="s">
        <v>924</v>
      </c>
      <c r="G29" s="302">
        <v>64.22</v>
      </c>
      <c r="H29" s="303">
        <f t="shared" si="26"/>
        <v>1.9</v>
      </c>
      <c r="I29" s="303">
        <v>1.9</v>
      </c>
      <c r="J29" s="13">
        <f t="shared" si="0"/>
        <v>1.9</v>
      </c>
      <c r="K29" s="14">
        <v>710</v>
      </c>
      <c r="L29" s="15">
        <f t="shared" si="14"/>
        <v>64.22</v>
      </c>
      <c r="M29" s="16">
        <v>1.3</v>
      </c>
      <c r="N29" s="14" t="s">
        <v>134</v>
      </c>
      <c r="O29" s="17">
        <f t="shared" si="27"/>
        <v>385.32</v>
      </c>
      <c r="P29" s="13">
        <f t="shared" si="1"/>
        <v>0</v>
      </c>
      <c r="Q29" s="13">
        <f t="shared" si="2"/>
        <v>0</v>
      </c>
      <c r="R29" s="13">
        <f t="shared" si="3"/>
        <v>0</v>
      </c>
      <c r="S29" s="13">
        <f t="shared" si="4"/>
        <v>0</v>
      </c>
      <c r="T29" s="13">
        <f t="shared" si="5"/>
        <v>166.55456999999998</v>
      </c>
      <c r="U29" s="13">
        <f t="shared" si="15"/>
        <v>8.3277284999999992</v>
      </c>
      <c r="V29" s="13">
        <f t="shared" si="16"/>
        <v>158.22684149999998</v>
      </c>
      <c r="W29" s="13">
        <f t="shared" si="28"/>
        <v>0</v>
      </c>
      <c r="X29" s="13">
        <f t="shared" si="29"/>
        <v>0</v>
      </c>
      <c r="Y29" s="13">
        <f t="shared" si="30"/>
        <v>7.9113420749999985</v>
      </c>
      <c r="Z29" s="13">
        <f t="shared" si="31"/>
        <v>0.416386425</v>
      </c>
      <c r="AA29" s="13">
        <f t="shared" si="8"/>
        <v>0</v>
      </c>
      <c r="AB29" s="13">
        <f t="shared" si="32"/>
        <v>0</v>
      </c>
      <c r="AC29" s="13">
        <f t="shared" ref="AC29:AC38" si="35">IF($J29&lt;=1.5,V29*0.05,0)</f>
        <v>0</v>
      </c>
      <c r="AD29" s="13">
        <f t="shared" si="33"/>
        <v>121.83466795499999</v>
      </c>
      <c r="AE29" s="13">
        <f t="shared" si="34"/>
        <v>31.645368299999998</v>
      </c>
      <c r="AF29" s="13">
        <f t="shared" si="23"/>
        <v>0</v>
      </c>
      <c r="AG29" s="13">
        <f t="shared" si="24"/>
        <v>0</v>
      </c>
      <c r="AH29" s="13">
        <f t="shared" si="9"/>
        <v>4.7468052449999991</v>
      </c>
      <c r="AI29" s="13">
        <f t="shared" si="10"/>
        <v>83.486000000000004</v>
      </c>
      <c r="AJ29" s="13">
        <f t="shared" si="11"/>
        <v>166.55456999999998</v>
      </c>
      <c r="AK29" s="13">
        <f t="shared" si="12"/>
        <v>244.03599999999997</v>
      </c>
      <c r="AL29" s="13">
        <f t="shared" si="13"/>
        <v>0</v>
      </c>
      <c r="AM29" s="295"/>
      <c r="AN29" s="295"/>
      <c r="AO29" s="295"/>
      <c r="AP29" s="295"/>
      <c r="AQ29" s="295"/>
      <c r="AR29" s="295"/>
      <c r="AS29" s="295"/>
      <c r="AT29" s="295"/>
      <c r="AU29" s="295"/>
      <c r="AV29" s="295"/>
      <c r="AW29" s="295"/>
      <c r="AX29" s="295"/>
      <c r="AY29" s="295"/>
      <c r="AZ29" s="295"/>
      <c r="BA29" s="295"/>
      <c r="BB29" s="295"/>
      <c r="BC29" s="295"/>
      <c r="BD29" s="295"/>
      <c r="BE29" s="295"/>
      <c r="BF29" s="295"/>
      <c r="BG29" s="295"/>
      <c r="BH29" s="295"/>
      <c r="BI29" s="295"/>
      <c r="BJ29" s="295"/>
      <c r="BK29" s="295"/>
      <c r="BL29" s="295"/>
      <c r="BM29" s="295"/>
      <c r="BN29" s="295"/>
      <c r="BO29" s="295"/>
      <c r="BP29" s="295"/>
      <c r="BQ29" s="295"/>
      <c r="BR29" s="295"/>
      <c r="BS29" s="295"/>
      <c r="BT29" s="295"/>
      <c r="BU29" s="295"/>
      <c r="BV29" s="295"/>
      <c r="BW29" s="295"/>
      <c r="BX29" s="295"/>
      <c r="BY29" s="295"/>
      <c r="BZ29" s="295"/>
      <c r="CA29" s="295"/>
      <c r="CB29" s="295"/>
      <c r="CC29" s="295"/>
      <c r="CD29" s="295"/>
      <c r="CE29" s="295"/>
      <c r="CF29" s="295"/>
      <c r="CG29" s="295"/>
      <c r="CH29" s="295"/>
      <c r="CI29" s="295"/>
      <c r="CJ29" s="295"/>
      <c r="CK29" s="295"/>
      <c r="CL29" s="295"/>
      <c r="CM29" s="295"/>
      <c r="CN29" s="295"/>
      <c r="CO29" s="295"/>
      <c r="CP29" s="295"/>
      <c r="CQ29" s="295"/>
      <c r="CR29" s="295"/>
      <c r="CS29" s="295"/>
      <c r="CT29" s="295"/>
      <c r="CU29" s="295"/>
      <c r="CV29" s="295"/>
      <c r="CW29" s="295"/>
      <c r="CX29" s="295"/>
      <c r="CY29" s="295"/>
      <c r="CZ29" s="295"/>
      <c r="DA29" s="295"/>
      <c r="DB29" s="295"/>
      <c r="DC29" s="295"/>
      <c r="DD29" s="295"/>
      <c r="DE29" s="295"/>
      <c r="DF29" s="295"/>
      <c r="DG29" s="295"/>
      <c r="DH29" s="295"/>
      <c r="DI29" s="295"/>
      <c r="DJ29" s="295"/>
      <c r="DK29" s="295"/>
      <c r="DL29" s="295"/>
      <c r="DM29" s="295"/>
      <c r="DN29" s="295"/>
      <c r="DO29" s="295"/>
      <c r="DP29" s="295"/>
      <c r="DQ29" s="295"/>
      <c r="DR29" s="295"/>
      <c r="DS29" s="295"/>
      <c r="DT29" s="295"/>
      <c r="DU29" s="295"/>
      <c r="DV29" s="295"/>
      <c r="DW29" s="295"/>
      <c r="DX29" s="295"/>
      <c r="DY29" s="295"/>
      <c r="DZ29" s="295"/>
      <c r="EA29" s="295"/>
      <c r="EB29" s="295"/>
      <c r="EC29" s="295"/>
      <c r="ED29" s="295"/>
      <c r="EE29" s="295"/>
      <c r="EF29" s="295"/>
      <c r="EG29" s="295"/>
      <c r="EH29" s="295"/>
      <c r="EI29" s="295"/>
      <c r="EJ29" s="295"/>
      <c r="EK29" s="295"/>
      <c r="EL29" s="295"/>
      <c r="EM29" s="295"/>
      <c r="EN29" s="295"/>
      <c r="EO29" s="295"/>
      <c r="EP29" s="295"/>
      <c r="EQ29" s="295"/>
      <c r="ER29" s="295"/>
      <c r="ES29" s="295"/>
      <c r="ET29" s="295"/>
      <c r="EU29" s="295"/>
      <c r="EV29" s="295"/>
      <c r="EW29" s="295"/>
      <c r="EX29" s="295"/>
      <c r="EY29" s="295"/>
      <c r="EZ29" s="295"/>
      <c r="FA29" s="295"/>
      <c r="FB29" s="295"/>
      <c r="FC29" s="295"/>
      <c r="FD29" s="295"/>
      <c r="FE29" s="295"/>
      <c r="FF29" s="295"/>
      <c r="FG29" s="295"/>
      <c r="FH29" s="295"/>
      <c r="FI29" s="295"/>
      <c r="FJ29" s="295"/>
      <c r="FK29" s="295"/>
      <c r="FL29" s="295"/>
      <c r="FM29" s="295"/>
      <c r="FN29" s="295"/>
      <c r="FO29" s="295"/>
      <c r="FP29" s="295"/>
      <c r="FQ29" s="295"/>
      <c r="FR29" s="295"/>
      <c r="FS29" s="295"/>
      <c r="FT29" s="295"/>
      <c r="FU29" s="295"/>
      <c r="FV29" s="295"/>
      <c r="FW29" s="295"/>
      <c r="FX29" s="295"/>
      <c r="FY29" s="295"/>
      <c r="FZ29" s="295"/>
      <c r="GA29" s="295"/>
      <c r="GB29" s="295"/>
      <c r="GC29" s="295"/>
      <c r="GD29" s="295"/>
      <c r="GE29" s="295"/>
      <c r="GF29" s="295"/>
      <c r="GG29" s="295"/>
      <c r="GH29" s="295"/>
      <c r="GI29" s="295"/>
      <c r="GJ29" s="295"/>
      <c r="GK29" s="295"/>
      <c r="GL29" s="295"/>
      <c r="GM29" s="295"/>
      <c r="GN29" s="295"/>
      <c r="GO29" s="295"/>
      <c r="GP29" s="295"/>
      <c r="GQ29" s="295"/>
      <c r="GR29" s="295"/>
      <c r="GS29" s="295"/>
      <c r="GT29" s="295"/>
      <c r="GU29" s="295"/>
      <c r="GV29" s="295"/>
      <c r="GW29" s="295"/>
      <c r="GX29" s="295"/>
      <c r="GY29" s="295"/>
      <c r="GZ29" s="295"/>
      <c r="HA29" s="295"/>
      <c r="HB29" s="295"/>
      <c r="HC29" s="295"/>
      <c r="HD29" s="295"/>
      <c r="HE29" s="295"/>
      <c r="HF29" s="295"/>
      <c r="HG29" s="295"/>
      <c r="HH29" s="295"/>
      <c r="HI29" s="295"/>
      <c r="HJ29" s="295"/>
      <c r="HK29" s="295"/>
      <c r="HL29" s="295"/>
      <c r="HM29" s="295"/>
      <c r="HN29" s="295"/>
      <c r="HO29" s="295"/>
      <c r="HP29" s="295"/>
      <c r="HQ29" s="295"/>
      <c r="HR29" s="295"/>
      <c r="HS29" s="295"/>
      <c r="HT29" s="295"/>
      <c r="HU29" s="295"/>
      <c r="HV29" s="295"/>
      <c r="HW29" s="295"/>
      <c r="HX29" s="295"/>
      <c r="HY29" s="295"/>
      <c r="HZ29" s="295"/>
      <c r="IA29" s="295"/>
      <c r="IB29" s="295"/>
      <c r="IC29" s="295"/>
      <c r="ID29" s="295"/>
      <c r="IE29" s="295"/>
      <c r="IF29" s="295"/>
      <c r="IG29" s="295"/>
      <c r="IH29" s="295"/>
      <c r="II29" s="295"/>
      <c r="IJ29" s="295"/>
      <c r="IK29" s="295"/>
      <c r="IL29" s="295"/>
      <c r="IM29" s="295"/>
      <c r="IN29" s="295"/>
      <c r="IO29" s="295"/>
      <c r="IP29" s="295"/>
      <c r="IQ29" s="295"/>
      <c r="IR29" s="295"/>
      <c r="IS29" s="295"/>
      <c r="IT29" s="295"/>
      <c r="IU29" s="295"/>
      <c r="IV29" s="295"/>
      <c r="IW29" s="295"/>
      <c r="IX29" s="295"/>
      <c r="IY29" s="295"/>
      <c r="IZ29" s="295"/>
      <c r="JA29" s="295"/>
      <c r="JB29" s="295"/>
      <c r="JC29" s="295"/>
      <c r="JD29" s="295"/>
      <c r="JE29" s="295"/>
      <c r="JF29" s="295"/>
      <c r="JG29" s="295"/>
      <c r="JH29" s="295"/>
      <c r="JI29" s="295"/>
      <c r="JJ29" s="295"/>
      <c r="JK29" s="295"/>
      <c r="JL29" s="295"/>
      <c r="JM29" s="295"/>
      <c r="JN29" s="295"/>
      <c r="JO29" s="295"/>
      <c r="JP29" s="295"/>
      <c r="JQ29" s="295"/>
      <c r="JR29" s="295"/>
      <c r="JS29" s="295"/>
      <c r="JT29" s="295"/>
      <c r="JU29" s="295"/>
      <c r="JV29" s="295"/>
      <c r="JW29" s="295"/>
      <c r="JX29" s="295"/>
      <c r="JY29" s="295"/>
      <c r="JZ29" s="295"/>
      <c r="KA29" s="295"/>
      <c r="KB29" s="295"/>
      <c r="KC29" s="295"/>
      <c r="KD29" s="295"/>
      <c r="KE29" s="295"/>
      <c r="KF29" s="295"/>
      <c r="KG29" s="295"/>
      <c r="KH29" s="295"/>
      <c r="KI29" s="295"/>
      <c r="KJ29" s="295"/>
      <c r="KK29" s="295"/>
      <c r="KL29" s="295"/>
      <c r="KM29" s="295"/>
      <c r="KN29" s="295"/>
      <c r="KO29" s="295"/>
      <c r="KP29" s="295"/>
      <c r="KQ29" s="295"/>
      <c r="KR29" s="295"/>
      <c r="KS29" s="295"/>
      <c r="KT29" s="295"/>
      <c r="KU29" s="295"/>
      <c r="KV29" s="295"/>
      <c r="KW29" s="295"/>
      <c r="KX29" s="295"/>
      <c r="KY29" s="295"/>
      <c r="KZ29" s="295"/>
      <c r="LA29" s="295"/>
      <c r="LB29" s="295"/>
      <c r="LC29" s="295"/>
      <c r="LD29" s="295"/>
      <c r="LE29" s="295"/>
      <c r="LF29" s="295"/>
      <c r="LG29" s="295"/>
      <c r="LH29" s="295"/>
      <c r="LI29" s="295"/>
      <c r="LJ29" s="295"/>
      <c r="LK29" s="295"/>
      <c r="LL29" s="295"/>
      <c r="LM29" s="295"/>
      <c r="LN29" s="295"/>
      <c r="LO29" s="295"/>
      <c r="LP29" s="295"/>
      <c r="LQ29" s="295"/>
      <c r="LR29" s="295"/>
      <c r="LS29" s="295"/>
      <c r="LT29" s="295"/>
      <c r="LU29" s="295"/>
      <c r="LV29" s="295"/>
      <c r="LW29" s="295"/>
      <c r="LX29" s="295"/>
      <c r="LY29" s="295"/>
      <c r="LZ29" s="295"/>
      <c r="MA29" s="295"/>
      <c r="MB29" s="295"/>
      <c r="MC29" s="295"/>
      <c r="MD29" s="295"/>
      <c r="ME29" s="295"/>
      <c r="MF29" s="295"/>
      <c r="MG29" s="295"/>
      <c r="MH29" s="295"/>
      <c r="MI29" s="295"/>
      <c r="MJ29" s="295"/>
      <c r="MK29" s="295"/>
      <c r="ML29" s="295"/>
      <c r="MM29" s="295"/>
      <c r="MN29" s="295"/>
      <c r="MO29" s="295"/>
      <c r="MP29" s="295"/>
      <c r="MQ29" s="295"/>
      <c r="MR29" s="295"/>
      <c r="MS29" s="295"/>
      <c r="MT29" s="295"/>
      <c r="MU29" s="295"/>
      <c r="MV29" s="295"/>
      <c r="MW29" s="295"/>
      <c r="MX29" s="295"/>
      <c r="MY29" s="295"/>
      <c r="MZ29" s="295"/>
      <c r="NA29" s="295"/>
      <c r="NB29" s="295"/>
      <c r="NC29" s="295"/>
      <c r="ND29" s="295"/>
      <c r="NE29" s="295"/>
      <c r="NF29" s="295"/>
      <c r="NG29" s="295"/>
      <c r="NH29" s="295"/>
      <c r="NI29" s="295"/>
      <c r="NJ29" s="295"/>
      <c r="NK29" s="295"/>
      <c r="NL29" s="295"/>
      <c r="NM29" s="295"/>
      <c r="NN29" s="295"/>
      <c r="NO29" s="295"/>
      <c r="NP29" s="295"/>
      <c r="NQ29" s="295"/>
      <c r="NR29" s="295"/>
      <c r="NS29" s="295"/>
      <c r="NT29" s="295"/>
      <c r="NU29" s="295"/>
      <c r="NV29" s="295"/>
      <c r="NW29" s="295"/>
      <c r="NX29" s="295"/>
      <c r="NY29" s="295"/>
      <c r="NZ29" s="295"/>
      <c r="OA29" s="295"/>
      <c r="OB29" s="295"/>
      <c r="OC29" s="295"/>
      <c r="OD29" s="295"/>
      <c r="OE29" s="295"/>
      <c r="OF29" s="295"/>
      <c r="OG29" s="295"/>
      <c r="OH29" s="295"/>
      <c r="OI29" s="295"/>
      <c r="OJ29" s="295"/>
      <c r="OK29" s="295"/>
      <c r="OL29" s="295"/>
      <c r="OM29" s="295"/>
      <c r="ON29" s="295"/>
      <c r="OO29" s="295"/>
      <c r="OP29" s="295"/>
      <c r="OQ29" s="295"/>
      <c r="OR29" s="295"/>
      <c r="OS29" s="295"/>
      <c r="OT29" s="295"/>
      <c r="OU29" s="295"/>
      <c r="OV29" s="295"/>
      <c r="OW29" s="295"/>
      <c r="OX29" s="295"/>
      <c r="OY29" s="295"/>
      <c r="OZ29" s="295"/>
      <c r="PA29" s="295"/>
      <c r="PB29" s="295"/>
      <c r="PC29" s="295"/>
      <c r="PD29" s="295"/>
      <c r="PE29" s="295"/>
      <c r="PF29" s="295"/>
      <c r="PG29" s="295"/>
      <c r="PH29" s="295"/>
    </row>
    <row r="30" spans="1:424" s="18" customFormat="1" x14ac:dyDescent="0.2">
      <c r="A30" s="295"/>
      <c r="B30" s="8" t="s">
        <v>878</v>
      </c>
      <c r="C30" s="10" t="str">
        <f t="shared" si="25"/>
        <v>145</v>
      </c>
      <c r="D30" s="9" t="str">
        <f t="shared" si="25"/>
        <v>+02,52</v>
      </c>
      <c r="E30" s="10" t="s">
        <v>925</v>
      </c>
      <c r="F30" s="9" t="s">
        <v>132</v>
      </c>
      <c r="G30" s="302">
        <v>17.48</v>
      </c>
      <c r="H30" s="303">
        <f t="shared" si="26"/>
        <v>1.9</v>
      </c>
      <c r="I30" s="303">
        <v>2.1</v>
      </c>
      <c r="J30" s="13">
        <f t="shared" si="0"/>
        <v>2</v>
      </c>
      <c r="K30" s="14">
        <v>710</v>
      </c>
      <c r="L30" s="15">
        <f t="shared" si="14"/>
        <v>17.48</v>
      </c>
      <c r="M30" s="16">
        <v>1.3</v>
      </c>
      <c r="N30" s="14" t="s">
        <v>134</v>
      </c>
      <c r="O30" s="17">
        <f t="shared" si="27"/>
        <v>104.88</v>
      </c>
      <c r="P30" s="13">
        <f t="shared" si="1"/>
        <v>0</v>
      </c>
      <c r="Q30" s="13">
        <f t="shared" si="2"/>
        <v>0</v>
      </c>
      <c r="R30" s="13">
        <f t="shared" si="3"/>
        <v>0</v>
      </c>
      <c r="S30" s="13">
        <f t="shared" si="4"/>
        <v>0</v>
      </c>
      <c r="T30" s="13">
        <f t="shared" si="5"/>
        <v>47.720400000000005</v>
      </c>
      <c r="U30" s="13">
        <f t="shared" si="15"/>
        <v>2.3860200000000003</v>
      </c>
      <c r="V30" s="13">
        <f t="shared" si="16"/>
        <v>45.334380000000003</v>
      </c>
      <c r="W30" s="13">
        <f t="shared" si="28"/>
        <v>0</v>
      </c>
      <c r="X30" s="13">
        <f t="shared" si="29"/>
        <v>0</v>
      </c>
      <c r="Y30" s="13">
        <f t="shared" si="30"/>
        <v>2.2667190000000002</v>
      </c>
      <c r="Z30" s="13">
        <f t="shared" si="31"/>
        <v>0.11930100000000002</v>
      </c>
      <c r="AA30" s="13">
        <f t="shared" si="8"/>
        <v>0</v>
      </c>
      <c r="AB30" s="13">
        <f t="shared" si="32"/>
        <v>0</v>
      </c>
      <c r="AC30" s="13">
        <f t="shared" si="35"/>
        <v>0</v>
      </c>
      <c r="AD30" s="13">
        <f t="shared" si="33"/>
        <v>34.907472600000006</v>
      </c>
      <c r="AE30" s="13">
        <f t="shared" si="34"/>
        <v>9.0668760000000006</v>
      </c>
      <c r="AF30" s="13">
        <f t="shared" si="23"/>
        <v>0</v>
      </c>
      <c r="AG30" s="13">
        <f t="shared" si="24"/>
        <v>0</v>
      </c>
      <c r="AH30" s="13">
        <f t="shared" si="9"/>
        <v>1.3600314</v>
      </c>
      <c r="AI30" s="13">
        <f t="shared" si="10"/>
        <v>22.724</v>
      </c>
      <c r="AJ30" s="13">
        <f t="shared" si="11"/>
        <v>47.720400000000005</v>
      </c>
      <c r="AK30" s="13">
        <f t="shared" si="12"/>
        <v>69.92</v>
      </c>
      <c r="AL30" s="13">
        <f t="shared" si="13"/>
        <v>0</v>
      </c>
      <c r="AM30" s="295"/>
      <c r="AN30" s="295"/>
      <c r="AO30" s="295"/>
      <c r="AP30" s="295"/>
      <c r="AQ30" s="295"/>
      <c r="AR30" s="295"/>
      <c r="AS30" s="295"/>
      <c r="AT30" s="295"/>
      <c r="AU30" s="295"/>
      <c r="AV30" s="295"/>
      <c r="AW30" s="295"/>
      <c r="AX30" s="295"/>
      <c r="AY30" s="295"/>
      <c r="AZ30" s="295"/>
      <c r="BA30" s="295"/>
      <c r="BB30" s="295"/>
      <c r="BC30" s="295"/>
      <c r="BD30" s="295"/>
      <c r="BE30" s="295"/>
      <c r="BF30" s="295"/>
      <c r="BG30" s="295"/>
      <c r="BH30" s="295"/>
      <c r="BI30" s="295"/>
      <c r="BJ30" s="295"/>
      <c r="BK30" s="295"/>
      <c r="BL30" s="295"/>
      <c r="BM30" s="295"/>
      <c r="BN30" s="295"/>
      <c r="BO30" s="295"/>
      <c r="BP30" s="295"/>
      <c r="BQ30" s="295"/>
      <c r="BR30" s="295"/>
      <c r="BS30" s="295"/>
      <c r="BT30" s="295"/>
      <c r="BU30" s="295"/>
      <c r="BV30" s="295"/>
      <c r="BW30" s="295"/>
      <c r="BX30" s="295"/>
      <c r="BY30" s="295"/>
      <c r="BZ30" s="295"/>
      <c r="CA30" s="295"/>
      <c r="CB30" s="295"/>
      <c r="CC30" s="295"/>
      <c r="CD30" s="295"/>
      <c r="CE30" s="295"/>
      <c r="CF30" s="295"/>
      <c r="CG30" s="295"/>
      <c r="CH30" s="295"/>
      <c r="CI30" s="295"/>
      <c r="CJ30" s="295"/>
      <c r="CK30" s="295"/>
      <c r="CL30" s="295"/>
      <c r="CM30" s="295"/>
      <c r="CN30" s="295"/>
      <c r="CO30" s="295"/>
      <c r="CP30" s="295"/>
      <c r="CQ30" s="295"/>
      <c r="CR30" s="295"/>
      <c r="CS30" s="295"/>
      <c r="CT30" s="295"/>
      <c r="CU30" s="295"/>
      <c r="CV30" s="295"/>
      <c r="CW30" s="295"/>
      <c r="CX30" s="295"/>
      <c r="CY30" s="295"/>
      <c r="CZ30" s="295"/>
      <c r="DA30" s="295"/>
      <c r="DB30" s="295"/>
      <c r="DC30" s="295"/>
      <c r="DD30" s="295"/>
      <c r="DE30" s="295"/>
      <c r="DF30" s="295"/>
      <c r="DG30" s="295"/>
      <c r="DH30" s="295"/>
      <c r="DI30" s="295"/>
      <c r="DJ30" s="295"/>
      <c r="DK30" s="295"/>
      <c r="DL30" s="295"/>
      <c r="DM30" s="295"/>
      <c r="DN30" s="295"/>
      <c r="DO30" s="295"/>
      <c r="DP30" s="295"/>
      <c r="DQ30" s="295"/>
      <c r="DR30" s="295"/>
      <c r="DS30" s="295"/>
      <c r="DT30" s="295"/>
      <c r="DU30" s="295"/>
      <c r="DV30" s="295"/>
      <c r="DW30" s="295"/>
      <c r="DX30" s="295"/>
      <c r="DY30" s="295"/>
      <c r="DZ30" s="295"/>
      <c r="EA30" s="295"/>
      <c r="EB30" s="295"/>
      <c r="EC30" s="295"/>
      <c r="ED30" s="295"/>
      <c r="EE30" s="295"/>
      <c r="EF30" s="295"/>
      <c r="EG30" s="295"/>
      <c r="EH30" s="295"/>
      <c r="EI30" s="295"/>
      <c r="EJ30" s="295"/>
      <c r="EK30" s="295"/>
      <c r="EL30" s="295"/>
      <c r="EM30" s="295"/>
      <c r="EN30" s="295"/>
      <c r="EO30" s="295"/>
      <c r="EP30" s="295"/>
      <c r="EQ30" s="295"/>
      <c r="ER30" s="295"/>
      <c r="ES30" s="295"/>
      <c r="ET30" s="295"/>
      <c r="EU30" s="295"/>
      <c r="EV30" s="295"/>
      <c r="EW30" s="295"/>
      <c r="EX30" s="295"/>
      <c r="EY30" s="295"/>
      <c r="EZ30" s="295"/>
      <c r="FA30" s="295"/>
      <c r="FB30" s="295"/>
      <c r="FC30" s="295"/>
      <c r="FD30" s="295"/>
      <c r="FE30" s="295"/>
      <c r="FF30" s="295"/>
      <c r="FG30" s="295"/>
      <c r="FH30" s="295"/>
      <c r="FI30" s="295"/>
      <c r="FJ30" s="295"/>
      <c r="FK30" s="295"/>
      <c r="FL30" s="295"/>
      <c r="FM30" s="295"/>
      <c r="FN30" s="295"/>
      <c r="FO30" s="295"/>
      <c r="FP30" s="295"/>
      <c r="FQ30" s="295"/>
      <c r="FR30" s="295"/>
      <c r="FS30" s="295"/>
      <c r="FT30" s="295"/>
      <c r="FU30" s="295"/>
      <c r="FV30" s="295"/>
      <c r="FW30" s="295"/>
      <c r="FX30" s="295"/>
      <c r="FY30" s="295"/>
      <c r="FZ30" s="295"/>
      <c r="GA30" s="295"/>
      <c r="GB30" s="295"/>
      <c r="GC30" s="295"/>
      <c r="GD30" s="295"/>
      <c r="GE30" s="295"/>
      <c r="GF30" s="295"/>
      <c r="GG30" s="295"/>
      <c r="GH30" s="295"/>
      <c r="GI30" s="295"/>
      <c r="GJ30" s="295"/>
      <c r="GK30" s="295"/>
      <c r="GL30" s="295"/>
      <c r="GM30" s="295"/>
      <c r="GN30" s="295"/>
      <c r="GO30" s="295"/>
      <c r="GP30" s="295"/>
      <c r="GQ30" s="295"/>
      <c r="GR30" s="295"/>
      <c r="GS30" s="295"/>
      <c r="GT30" s="295"/>
      <c r="GU30" s="295"/>
      <c r="GV30" s="295"/>
      <c r="GW30" s="295"/>
      <c r="GX30" s="295"/>
      <c r="GY30" s="295"/>
      <c r="GZ30" s="295"/>
      <c r="HA30" s="295"/>
      <c r="HB30" s="295"/>
      <c r="HC30" s="295"/>
      <c r="HD30" s="295"/>
      <c r="HE30" s="295"/>
      <c r="HF30" s="295"/>
      <c r="HG30" s="295"/>
      <c r="HH30" s="295"/>
      <c r="HI30" s="295"/>
      <c r="HJ30" s="295"/>
      <c r="HK30" s="295"/>
      <c r="HL30" s="295"/>
      <c r="HM30" s="295"/>
      <c r="HN30" s="295"/>
      <c r="HO30" s="295"/>
      <c r="HP30" s="295"/>
      <c r="HQ30" s="295"/>
      <c r="HR30" s="295"/>
      <c r="HS30" s="295"/>
      <c r="HT30" s="295"/>
      <c r="HU30" s="295"/>
      <c r="HV30" s="295"/>
      <c r="HW30" s="295"/>
      <c r="HX30" s="295"/>
      <c r="HY30" s="295"/>
      <c r="HZ30" s="295"/>
      <c r="IA30" s="295"/>
      <c r="IB30" s="295"/>
      <c r="IC30" s="295"/>
      <c r="ID30" s="295"/>
      <c r="IE30" s="295"/>
      <c r="IF30" s="295"/>
      <c r="IG30" s="295"/>
      <c r="IH30" s="295"/>
      <c r="II30" s="295"/>
      <c r="IJ30" s="295"/>
      <c r="IK30" s="295"/>
      <c r="IL30" s="295"/>
      <c r="IM30" s="295"/>
      <c r="IN30" s="295"/>
      <c r="IO30" s="295"/>
      <c r="IP30" s="295"/>
      <c r="IQ30" s="295"/>
      <c r="IR30" s="295"/>
      <c r="IS30" s="295"/>
      <c r="IT30" s="295"/>
      <c r="IU30" s="295"/>
      <c r="IV30" s="295"/>
      <c r="IW30" s="295"/>
      <c r="IX30" s="295"/>
      <c r="IY30" s="295"/>
      <c r="IZ30" s="295"/>
      <c r="JA30" s="295"/>
      <c r="JB30" s="295"/>
      <c r="JC30" s="295"/>
      <c r="JD30" s="295"/>
      <c r="JE30" s="295"/>
      <c r="JF30" s="295"/>
      <c r="JG30" s="295"/>
      <c r="JH30" s="295"/>
      <c r="JI30" s="295"/>
      <c r="JJ30" s="295"/>
      <c r="JK30" s="295"/>
      <c r="JL30" s="295"/>
      <c r="JM30" s="295"/>
      <c r="JN30" s="295"/>
      <c r="JO30" s="295"/>
      <c r="JP30" s="295"/>
      <c r="JQ30" s="295"/>
      <c r="JR30" s="295"/>
      <c r="JS30" s="295"/>
      <c r="JT30" s="295"/>
      <c r="JU30" s="295"/>
      <c r="JV30" s="295"/>
      <c r="JW30" s="295"/>
      <c r="JX30" s="295"/>
      <c r="JY30" s="295"/>
      <c r="JZ30" s="295"/>
      <c r="KA30" s="295"/>
      <c r="KB30" s="295"/>
      <c r="KC30" s="295"/>
      <c r="KD30" s="295"/>
      <c r="KE30" s="295"/>
      <c r="KF30" s="295"/>
      <c r="KG30" s="295"/>
      <c r="KH30" s="295"/>
      <c r="KI30" s="295"/>
      <c r="KJ30" s="295"/>
      <c r="KK30" s="295"/>
      <c r="KL30" s="295"/>
      <c r="KM30" s="295"/>
      <c r="KN30" s="295"/>
      <c r="KO30" s="295"/>
      <c r="KP30" s="295"/>
      <c r="KQ30" s="295"/>
      <c r="KR30" s="295"/>
      <c r="KS30" s="295"/>
      <c r="KT30" s="295"/>
      <c r="KU30" s="295"/>
      <c r="KV30" s="295"/>
      <c r="KW30" s="295"/>
      <c r="KX30" s="295"/>
      <c r="KY30" s="295"/>
      <c r="KZ30" s="295"/>
      <c r="LA30" s="295"/>
      <c r="LB30" s="295"/>
      <c r="LC30" s="295"/>
      <c r="LD30" s="295"/>
      <c r="LE30" s="295"/>
      <c r="LF30" s="295"/>
      <c r="LG30" s="295"/>
      <c r="LH30" s="295"/>
      <c r="LI30" s="295"/>
      <c r="LJ30" s="295"/>
      <c r="LK30" s="295"/>
      <c r="LL30" s="295"/>
      <c r="LM30" s="295"/>
      <c r="LN30" s="295"/>
      <c r="LO30" s="295"/>
      <c r="LP30" s="295"/>
      <c r="LQ30" s="295"/>
      <c r="LR30" s="295"/>
      <c r="LS30" s="295"/>
      <c r="LT30" s="295"/>
      <c r="LU30" s="295"/>
      <c r="LV30" s="295"/>
      <c r="LW30" s="295"/>
      <c r="LX30" s="295"/>
      <c r="LY30" s="295"/>
      <c r="LZ30" s="295"/>
      <c r="MA30" s="295"/>
      <c r="MB30" s="295"/>
      <c r="MC30" s="295"/>
      <c r="MD30" s="295"/>
      <c r="ME30" s="295"/>
      <c r="MF30" s="295"/>
      <c r="MG30" s="295"/>
      <c r="MH30" s="295"/>
      <c r="MI30" s="295"/>
      <c r="MJ30" s="295"/>
      <c r="MK30" s="295"/>
      <c r="ML30" s="295"/>
      <c r="MM30" s="295"/>
      <c r="MN30" s="295"/>
      <c r="MO30" s="295"/>
      <c r="MP30" s="295"/>
      <c r="MQ30" s="295"/>
      <c r="MR30" s="295"/>
      <c r="MS30" s="295"/>
      <c r="MT30" s="295"/>
      <c r="MU30" s="295"/>
      <c r="MV30" s="295"/>
      <c r="MW30" s="295"/>
      <c r="MX30" s="295"/>
      <c r="MY30" s="295"/>
      <c r="MZ30" s="295"/>
      <c r="NA30" s="295"/>
      <c r="NB30" s="295"/>
      <c r="NC30" s="295"/>
      <c r="ND30" s="295"/>
      <c r="NE30" s="295"/>
      <c r="NF30" s="295"/>
      <c r="NG30" s="295"/>
      <c r="NH30" s="295"/>
      <c r="NI30" s="295"/>
      <c r="NJ30" s="295"/>
      <c r="NK30" s="295"/>
      <c r="NL30" s="295"/>
      <c r="NM30" s="295"/>
      <c r="NN30" s="295"/>
      <c r="NO30" s="295"/>
      <c r="NP30" s="295"/>
      <c r="NQ30" s="295"/>
      <c r="NR30" s="295"/>
      <c r="NS30" s="295"/>
      <c r="NT30" s="295"/>
      <c r="NU30" s="295"/>
      <c r="NV30" s="295"/>
      <c r="NW30" s="295"/>
      <c r="NX30" s="295"/>
      <c r="NY30" s="295"/>
      <c r="NZ30" s="295"/>
      <c r="OA30" s="295"/>
      <c r="OB30" s="295"/>
      <c r="OC30" s="295"/>
      <c r="OD30" s="295"/>
      <c r="OE30" s="295"/>
      <c r="OF30" s="295"/>
      <c r="OG30" s="295"/>
      <c r="OH30" s="295"/>
      <c r="OI30" s="295"/>
      <c r="OJ30" s="295"/>
      <c r="OK30" s="295"/>
      <c r="OL30" s="295"/>
      <c r="OM30" s="295"/>
      <c r="ON30" s="295"/>
      <c r="OO30" s="295"/>
      <c r="OP30" s="295"/>
      <c r="OQ30" s="295"/>
      <c r="OR30" s="295"/>
      <c r="OS30" s="295"/>
      <c r="OT30" s="295"/>
      <c r="OU30" s="295"/>
      <c r="OV30" s="295"/>
      <c r="OW30" s="295"/>
      <c r="OX30" s="295"/>
      <c r="OY30" s="295"/>
      <c r="OZ30" s="295"/>
      <c r="PA30" s="295"/>
      <c r="PB30" s="295"/>
      <c r="PC30" s="295"/>
      <c r="PD30" s="295"/>
      <c r="PE30" s="295"/>
      <c r="PF30" s="295"/>
      <c r="PG30" s="295"/>
      <c r="PH30" s="295"/>
    </row>
    <row r="31" spans="1:424" s="18" customFormat="1" x14ac:dyDescent="0.2">
      <c r="A31" s="295"/>
      <c r="B31" s="8" t="s">
        <v>878</v>
      </c>
      <c r="C31" s="10" t="str">
        <f t="shared" si="25"/>
        <v>146</v>
      </c>
      <c r="D31" s="9" t="str">
        <f t="shared" si="25"/>
        <v>+00,00</v>
      </c>
      <c r="E31" s="10" t="s">
        <v>926</v>
      </c>
      <c r="F31" s="9" t="s">
        <v>927</v>
      </c>
      <c r="G31" s="302">
        <v>94.77</v>
      </c>
      <c r="H31" s="303">
        <f t="shared" si="26"/>
        <v>2.1</v>
      </c>
      <c r="I31" s="303">
        <v>1.9</v>
      </c>
      <c r="J31" s="13">
        <f t="shared" si="0"/>
        <v>2</v>
      </c>
      <c r="K31" s="14">
        <v>710</v>
      </c>
      <c r="L31" s="15">
        <f t="shared" si="14"/>
        <v>94.77</v>
      </c>
      <c r="M31" s="16">
        <v>1.3</v>
      </c>
      <c r="N31" s="14" t="s">
        <v>134</v>
      </c>
      <c r="O31" s="17">
        <v>0</v>
      </c>
      <c r="P31" s="13">
        <f t="shared" si="1"/>
        <v>0</v>
      </c>
      <c r="Q31" s="13">
        <f t="shared" si="2"/>
        <v>0</v>
      </c>
      <c r="R31" s="13">
        <f t="shared" si="3"/>
        <v>0</v>
      </c>
      <c r="S31" s="13">
        <f t="shared" si="4"/>
        <v>0</v>
      </c>
      <c r="T31" s="13">
        <f t="shared" si="5"/>
        <v>258.72210000000001</v>
      </c>
      <c r="U31" s="13">
        <f t="shared" si="15"/>
        <v>12.936105000000001</v>
      </c>
      <c r="V31" s="13">
        <f t="shared" si="16"/>
        <v>245.78599499999999</v>
      </c>
      <c r="W31" s="13">
        <f t="shared" si="28"/>
        <v>0</v>
      </c>
      <c r="X31" s="13">
        <f t="shared" si="29"/>
        <v>0</v>
      </c>
      <c r="Y31" s="13">
        <f t="shared" si="30"/>
        <v>12.289299750000001</v>
      </c>
      <c r="Z31" s="13">
        <f t="shared" si="31"/>
        <v>0.64680525000000011</v>
      </c>
      <c r="AA31" s="13">
        <f t="shared" si="8"/>
        <v>0</v>
      </c>
      <c r="AB31" s="13">
        <f t="shared" si="32"/>
        <v>0</v>
      </c>
      <c r="AC31" s="13">
        <f t="shared" si="35"/>
        <v>0</v>
      </c>
      <c r="AD31" s="13">
        <f t="shared" si="33"/>
        <v>189.25521615</v>
      </c>
      <c r="AE31" s="13">
        <f t="shared" si="34"/>
        <v>49.157198999999999</v>
      </c>
      <c r="AF31" s="13">
        <f t="shared" si="23"/>
        <v>0</v>
      </c>
      <c r="AG31" s="13">
        <f t="shared" si="24"/>
        <v>0</v>
      </c>
      <c r="AH31" s="13">
        <f t="shared" si="9"/>
        <v>7.3735798499999996</v>
      </c>
      <c r="AI31" s="13">
        <f t="shared" si="10"/>
        <v>123.20099999999999</v>
      </c>
      <c r="AJ31" s="13">
        <f t="shared" si="11"/>
        <v>258.72210000000001</v>
      </c>
      <c r="AK31" s="13">
        <f t="shared" si="12"/>
        <v>379.08</v>
      </c>
      <c r="AL31" s="13">
        <f t="shared" si="13"/>
        <v>0</v>
      </c>
      <c r="AM31" s="295"/>
      <c r="AN31" s="295"/>
      <c r="AO31" s="295"/>
      <c r="AP31" s="295"/>
      <c r="AQ31" s="295"/>
      <c r="AR31" s="295"/>
      <c r="AS31" s="295"/>
      <c r="AT31" s="295"/>
      <c r="AU31" s="295"/>
      <c r="AV31" s="295"/>
      <c r="AW31" s="295"/>
      <c r="AX31" s="295"/>
      <c r="AY31" s="295"/>
      <c r="AZ31" s="295"/>
      <c r="BA31" s="295"/>
      <c r="BB31" s="295"/>
      <c r="BC31" s="295"/>
      <c r="BD31" s="295"/>
      <c r="BE31" s="295"/>
      <c r="BF31" s="295"/>
      <c r="BG31" s="295"/>
      <c r="BH31" s="295"/>
      <c r="BI31" s="295"/>
      <c r="BJ31" s="295"/>
      <c r="BK31" s="295"/>
      <c r="BL31" s="295"/>
      <c r="BM31" s="295"/>
      <c r="BN31" s="295"/>
      <c r="BO31" s="295"/>
      <c r="BP31" s="295"/>
      <c r="BQ31" s="295"/>
      <c r="BR31" s="295"/>
      <c r="BS31" s="295"/>
      <c r="BT31" s="295"/>
      <c r="BU31" s="295"/>
      <c r="BV31" s="295"/>
      <c r="BW31" s="295"/>
      <c r="BX31" s="295"/>
      <c r="BY31" s="295"/>
      <c r="BZ31" s="295"/>
      <c r="CA31" s="295"/>
      <c r="CB31" s="295"/>
      <c r="CC31" s="295"/>
      <c r="CD31" s="295"/>
      <c r="CE31" s="295"/>
      <c r="CF31" s="295"/>
      <c r="CG31" s="295"/>
      <c r="CH31" s="295"/>
      <c r="CI31" s="295"/>
      <c r="CJ31" s="295"/>
      <c r="CK31" s="295"/>
      <c r="CL31" s="295"/>
      <c r="CM31" s="295"/>
      <c r="CN31" s="295"/>
      <c r="CO31" s="295"/>
      <c r="CP31" s="295"/>
      <c r="CQ31" s="295"/>
      <c r="CR31" s="295"/>
      <c r="CS31" s="295"/>
      <c r="CT31" s="295"/>
      <c r="CU31" s="295"/>
      <c r="CV31" s="295"/>
      <c r="CW31" s="295"/>
      <c r="CX31" s="295"/>
      <c r="CY31" s="295"/>
      <c r="CZ31" s="295"/>
      <c r="DA31" s="295"/>
      <c r="DB31" s="295"/>
      <c r="DC31" s="295"/>
      <c r="DD31" s="295"/>
      <c r="DE31" s="295"/>
      <c r="DF31" s="295"/>
      <c r="DG31" s="295"/>
      <c r="DH31" s="295"/>
      <c r="DI31" s="295"/>
      <c r="DJ31" s="295"/>
      <c r="DK31" s="295"/>
      <c r="DL31" s="295"/>
      <c r="DM31" s="295"/>
      <c r="DN31" s="295"/>
      <c r="DO31" s="295"/>
      <c r="DP31" s="295"/>
      <c r="DQ31" s="295"/>
      <c r="DR31" s="295"/>
      <c r="DS31" s="295"/>
      <c r="DT31" s="295"/>
      <c r="DU31" s="295"/>
      <c r="DV31" s="295"/>
      <c r="DW31" s="295"/>
      <c r="DX31" s="295"/>
      <c r="DY31" s="295"/>
      <c r="DZ31" s="295"/>
      <c r="EA31" s="295"/>
      <c r="EB31" s="295"/>
      <c r="EC31" s="295"/>
      <c r="ED31" s="295"/>
      <c r="EE31" s="295"/>
      <c r="EF31" s="295"/>
      <c r="EG31" s="295"/>
      <c r="EH31" s="295"/>
      <c r="EI31" s="295"/>
      <c r="EJ31" s="295"/>
      <c r="EK31" s="295"/>
      <c r="EL31" s="295"/>
      <c r="EM31" s="295"/>
      <c r="EN31" s="295"/>
      <c r="EO31" s="295"/>
      <c r="EP31" s="295"/>
      <c r="EQ31" s="295"/>
      <c r="ER31" s="295"/>
      <c r="ES31" s="295"/>
      <c r="ET31" s="295"/>
      <c r="EU31" s="295"/>
      <c r="EV31" s="295"/>
      <c r="EW31" s="295"/>
      <c r="EX31" s="295"/>
      <c r="EY31" s="295"/>
      <c r="EZ31" s="295"/>
      <c r="FA31" s="295"/>
      <c r="FB31" s="295"/>
      <c r="FC31" s="295"/>
      <c r="FD31" s="295"/>
      <c r="FE31" s="295"/>
      <c r="FF31" s="295"/>
      <c r="FG31" s="295"/>
      <c r="FH31" s="295"/>
      <c r="FI31" s="295"/>
      <c r="FJ31" s="295"/>
      <c r="FK31" s="295"/>
      <c r="FL31" s="295"/>
      <c r="FM31" s="295"/>
      <c r="FN31" s="295"/>
      <c r="FO31" s="295"/>
      <c r="FP31" s="295"/>
      <c r="FQ31" s="295"/>
      <c r="FR31" s="295"/>
      <c r="FS31" s="295"/>
      <c r="FT31" s="295"/>
      <c r="FU31" s="295"/>
      <c r="FV31" s="295"/>
      <c r="FW31" s="295"/>
      <c r="FX31" s="295"/>
      <c r="FY31" s="295"/>
      <c r="FZ31" s="295"/>
      <c r="GA31" s="295"/>
      <c r="GB31" s="295"/>
      <c r="GC31" s="295"/>
      <c r="GD31" s="295"/>
      <c r="GE31" s="295"/>
      <c r="GF31" s="295"/>
      <c r="GG31" s="295"/>
      <c r="GH31" s="295"/>
      <c r="GI31" s="295"/>
      <c r="GJ31" s="295"/>
      <c r="GK31" s="295"/>
      <c r="GL31" s="295"/>
      <c r="GM31" s="295"/>
      <c r="GN31" s="295"/>
      <c r="GO31" s="295"/>
      <c r="GP31" s="295"/>
      <c r="GQ31" s="295"/>
      <c r="GR31" s="295"/>
      <c r="GS31" s="295"/>
      <c r="GT31" s="295"/>
      <c r="GU31" s="295"/>
      <c r="GV31" s="295"/>
      <c r="GW31" s="295"/>
      <c r="GX31" s="295"/>
      <c r="GY31" s="295"/>
      <c r="GZ31" s="295"/>
      <c r="HA31" s="295"/>
      <c r="HB31" s="295"/>
      <c r="HC31" s="295"/>
      <c r="HD31" s="295"/>
      <c r="HE31" s="295"/>
      <c r="HF31" s="295"/>
      <c r="HG31" s="295"/>
      <c r="HH31" s="295"/>
      <c r="HI31" s="295"/>
      <c r="HJ31" s="295"/>
      <c r="HK31" s="295"/>
      <c r="HL31" s="295"/>
      <c r="HM31" s="295"/>
      <c r="HN31" s="295"/>
      <c r="HO31" s="295"/>
      <c r="HP31" s="295"/>
      <c r="HQ31" s="295"/>
      <c r="HR31" s="295"/>
      <c r="HS31" s="295"/>
      <c r="HT31" s="295"/>
      <c r="HU31" s="295"/>
      <c r="HV31" s="295"/>
      <c r="HW31" s="295"/>
      <c r="HX31" s="295"/>
      <c r="HY31" s="295"/>
      <c r="HZ31" s="295"/>
      <c r="IA31" s="295"/>
      <c r="IB31" s="295"/>
      <c r="IC31" s="295"/>
      <c r="ID31" s="295"/>
      <c r="IE31" s="295"/>
      <c r="IF31" s="295"/>
      <c r="IG31" s="295"/>
      <c r="IH31" s="295"/>
      <c r="II31" s="295"/>
      <c r="IJ31" s="295"/>
      <c r="IK31" s="295"/>
      <c r="IL31" s="295"/>
      <c r="IM31" s="295"/>
      <c r="IN31" s="295"/>
      <c r="IO31" s="295"/>
      <c r="IP31" s="295"/>
      <c r="IQ31" s="295"/>
      <c r="IR31" s="295"/>
      <c r="IS31" s="295"/>
      <c r="IT31" s="295"/>
      <c r="IU31" s="295"/>
      <c r="IV31" s="295"/>
      <c r="IW31" s="295"/>
      <c r="IX31" s="295"/>
      <c r="IY31" s="295"/>
      <c r="IZ31" s="295"/>
      <c r="JA31" s="295"/>
      <c r="JB31" s="295"/>
      <c r="JC31" s="295"/>
      <c r="JD31" s="295"/>
      <c r="JE31" s="295"/>
      <c r="JF31" s="295"/>
      <c r="JG31" s="295"/>
      <c r="JH31" s="295"/>
      <c r="JI31" s="295"/>
      <c r="JJ31" s="295"/>
      <c r="JK31" s="295"/>
      <c r="JL31" s="295"/>
      <c r="JM31" s="295"/>
      <c r="JN31" s="295"/>
      <c r="JO31" s="295"/>
      <c r="JP31" s="295"/>
      <c r="JQ31" s="295"/>
      <c r="JR31" s="295"/>
      <c r="JS31" s="295"/>
      <c r="JT31" s="295"/>
      <c r="JU31" s="295"/>
      <c r="JV31" s="295"/>
      <c r="JW31" s="295"/>
      <c r="JX31" s="295"/>
      <c r="JY31" s="295"/>
      <c r="JZ31" s="295"/>
      <c r="KA31" s="295"/>
      <c r="KB31" s="295"/>
      <c r="KC31" s="295"/>
      <c r="KD31" s="295"/>
      <c r="KE31" s="295"/>
      <c r="KF31" s="295"/>
      <c r="KG31" s="295"/>
      <c r="KH31" s="295"/>
      <c r="KI31" s="295"/>
      <c r="KJ31" s="295"/>
      <c r="KK31" s="295"/>
      <c r="KL31" s="295"/>
      <c r="KM31" s="295"/>
      <c r="KN31" s="295"/>
      <c r="KO31" s="295"/>
      <c r="KP31" s="295"/>
      <c r="KQ31" s="295"/>
      <c r="KR31" s="295"/>
      <c r="KS31" s="295"/>
      <c r="KT31" s="295"/>
      <c r="KU31" s="295"/>
      <c r="KV31" s="295"/>
      <c r="KW31" s="295"/>
      <c r="KX31" s="295"/>
      <c r="KY31" s="295"/>
      <c r="KZ31" s="295"/>
      <c r="LA31" s="295"/>
      <c r="LB31" s="295"/>
      <c r="LC31" s="295"/>
      <c r="LD31" s="295"/>
      <c r="LE31" s="295"/>
      <c r="LF31" s="295"/>
      <c r="LG31" s="295"/>
      <c r="LH31" s="295"/>
      <c r="LI31" s="295"/>
      <c r="LJ31" s="295"/>
      <c r="LK31" s="295"/>
      <c r="LL31" s="295"/>
      <c r="LM31" s="295"/>
      <c r="LN31" s="295"/>
      <c r="LO31" s="295"/>
      <c r="LP31" s="295"/>
      <c r="LQ31" s="295"/>
      <c r="LR31" s="295"/>
      <c r="LS31" s="295"/>
      <c r="LT31" s="295"/>
      <c r="LU31" s="295"/>
      <c r="LV31" s="295"/>
      <c r="LW31" s="295"/>
      <c r="LX31" s="295"/>
      <c r="LY31" s="295"/>
      <c r="LZ31" s="295"/>
      <c r="MA31" s="295"/>
      <c r="MB31" s="295"/>
      <c r="MC31" s="295"/>
      <c r="MD31" s="295"/>
      <c r="ME31" s="295"/>
      <c r="MF31" s="295"/>
      <c r="MG31" s="295"/>
      <c r="MH31" s="295"/>
      <c r="MI31" s="295"/>
      <c r="MJ31" s="295"/>
      <c r="MK31" s="295"/>
      <c r="ML31" s="295"/>
      <c r="MM31" s="295"/>
      <c r="MN31" s="295"/>
      <c r="MO31" s="295"/>
      <c r="MP31" s="295"/>
      <c r="MQ31" s="295"/>
      <c r="MR31" s="295"/>
      <c r="MS31" s="295"/>
      <c r="MT31" s="295"/>
      <c r="MU31" s="295"/>
      <c r="MV31" s="295"/>
      <c r="MW31" s="295"/>
      <c r="MX31" s="295"/>
      <c r="MY31" s="295"/>
      <c r="MZ31" s="295"/>
      <c r="NA31" s="295"/>
      <c r="NB31" s="295"/>
      <c r="NC31" s="295"/>
      <c r="ND31" s="295"/>
      <c r="NE31" s="295"/>
      <c r="NF31" s="295"/>
      <c r="NG31" s="295"/>
      <c r="NH31" s="295"/>
      <c r="NI31" s="295"/>
      <c r="NJ31" s="295"/>
      <c r="NK31" s="295"/>
      <c r="NL31" s="295"/>
      <c r="NM31" s="295"/>
      <c r="NN31" s="295"/>
      <c r="NO31" s="295"/>
      <c r="NP31" s="295"/>
      <c r="NQ31" s="295"/>
      <c r="NR31" s="295"/>
      <c r="NS31" s="295"/>
      <c r="NT31" s="295"/>
      <c r="NU31" s="295"/>
      <c r="NV31" s="295"/>
      <c r="NW31" s="295"/>
      <c r="NX31" s="295"/>
      <c r="NY31" s="295"/>
      <c r="NZ31" s="295"/>
      <c r="OA31" s="295"/>
      <c r="OB31" s="295"/>
      <c r="OC31" s="295"/>
      <c r="OD31" s="295"/>
      <c r="OE31" s="295"/>
      <c r="OF31" s="295"/>
      <c r="OG31" s="295"/>
      <c r="OH31" s="295"/>
      <c r="OI31" s="295"/>
      <c r="OJ31" s="295"/>
      <c r="OK31" s="295"/>
      <c r="OL31" s="295"/>
      <c r="OM31" s="295"/>
      <c r="ON31" s="295"/>
      <c r="OO31" s="295"/>
      <c r="OP31" s="295"/>
      <c r="OQ31" s="295"/>
      <c r="OR31" s="295"/>
      <c r="OS31" s="295"/>
      <c r="OT31" s="295"/>
      <c r="OU31" s="295"/>
      <c r="OV31" s="295"/>
      <c r="OW31" s="295"/>
      <c r="OX31" s="295"/>
      <c r="OY31" s="295"/>
      <c r="OZ31" s="295"/>
      <c r="PA31" s="295"/>
      <c r="PB31" s="295"/>
      <c r="PC31" s="295"/>
      <c r="PD31" s="295"/>
      <c r="PE31" s="295"/>
      <c r="PF31" s="295"/>
      <c r="PG31" s="295"/>
      <c r="PH31" s="295"/>
    </row>
    <row r="32" spans="1:424" s="18" customFormat="1" x14ac:dyDescent="0.2">
      <c r="A32" s="295"/>
      <c r="B32" s="8" t="s">
        <v>878</v>
      </c>
      <c r="C32" s="10" t="str">
        <f t="shared" si="25"/>
        <v>150</v>
      </c>
      <c r="D32" s="9" t="str">
        <f t="shared" si="25"/>
        <v>+14,77</v>
      </c>
      <c r="E32" s="10" t="s">
        <v>928</v>
      </c>
      <c r="F32" s="9" t="s">
        <v>929</v>
      </c>
      <c r="G32" s="302">
        <v>83.31</v>
      </c>
      <c r="H32" s="303">
        <f t="shared" si="26"/>
        <v>1.9</v>
      </c>
      <c r="I32" s="303">
        <v>1.9</v>
      </c>
      <c r="J32" s="13">
        <f t="shared" si="0"/>
        <v>1.9</v>
      </c>
      <c r="K32" s="14">
        <v>710</v>
      </c>
      <c r="L32" s="15">
        <f t="shared" si="14"/>
        <v>83.31</v>
      </c>
      <c r="M32" s="16">
        <v>1.3</v>
      </c>
      <c r="N32" s="14" t="s">
        <v>134</v>
      </c>
      <c r="O32" s="17">
        <v>0</v>
      </c>
      <c r="P32" s="13">
        <f t="shared" si="1"/>
        <v>0</v>
      </c>
      <c r="Q32" s="13">
        <f t="shared" si="2"/>
        <v>0</v>
      </c>
      <c r="R32" s="13">
        <f t="shared" si="3"/>
        <v>0</v>
      </c>
      <c r="S32" s="13">
        <f t="shared" si="4"/>
        <v>0</v>
      </c>
      <c r="T32" s="13">
        <f t="shared" si="5"/>
        <v>216.06448500000002</v>
      </c>
      <c r="U32" s="13">
        <f t="shared" si="15"/>
        <v>10.803224250000001</v>
      </c>
      <c r="V32" s="13">
        <f t="shared" si="16"/>
        <v>205.26126075000002</v>
      </c>
      <c r="W32" s="13">
        <f t="shared" si="28"/>
        <v>0</v>
      </c>
      <c r="X32" s="13">
        <f t="shared" si="29"/>
        <v>0</v>
      </c>
      <c r="Y32" s="13">
        <f t="shared" si="30"/>
        <v>10.2630630375</v>
      </c>
      <c r="Z32" s="13">
        <f t="shared" si="31"/>
        <v>0.54016121250000004</v>
      </c>
      <c r="AA32" s="13">
        <f t="shared" si="8"/>
        <v>0</v>
      </c>
      <c r="AB32" s="13">
        <f t="shared" si="32"/>
        <v>0</v>
      </c>
      <c r="AC32" s="13">
        <f t="shared" si="35"/>
        <v>0</v>
      </c>
      <c r="AD32" s="13">
        <f t="shared" si="33"/>
        <v>158.0511707775</v>
      </c>
      <c r="AE32" s="13">
        <f t="shared" si="34"/>
        <v>41.052252150000008</v>
      </c>
      <c r="AF32" s="13">
        <f t="shared" si="23"/>
        <v>0</v>
      </c>
      <c r="AG32" s="13">
        <f t="shared" si="24"/>
        <v>0</v>
      </c>
      <c r="AH32" s="13">
        <f t="shared" si="9"/>
        <v>6.1578378225000003</v>
      </c>
      <c r="AI32" s="13">
        <f t="shared" si="10"/>
        <v>108.30300000000001</v>
      </c>
      <c r="AJ32" s="13">
        <f t="shared" si="11"/>
        <v>216.06448500000002</v>
      </c>
      <c r="AK32" s="13">
        <f t="shared" si="12"/>
        <v>316.57799999999997</v>
      </c>
      <c r="AL32" s="13">
        <f t="shared" si="13"/>
        <v>0</v>
      </c>
      <c r="AM32" s="295"/>
      <c r="AN32" s="295"/>
      <c r="AO32" s="295"/>
      <c r="AP32" s="295"/>
      <c r="AQ32" s="295"/>
      <c r="AR32" s="295"/>
      <c r="AS32" s="295"/>
      <c r="AT32" s="295"/>
      <c r="AU32" s="295"/>
      <c r="AV32" s="295"/>
      <c r="AW32" s="295"/>
      <c r="AX32" s="295"/>
      <c r="AY32" s="295"/>
      <c r="AZ32" s="295"/>
      <c r="BA32" s="295"/>
      <c r="BB32" s="295"/>
      <c r="BC32" s="295"/>
      <c r="BD32" s="295"/>
      <c r="BE32" s="295"/>
      <c r="BF32" s="295"/>
      <c r="BG32" s="295"/>
      <c r="BH32" s="295"/>
      <c r="BI32" s="295"/>
      <c r="BJ32" s="295"/>
      <c r="BK32" s="295"/>
      <c r="BL32" s="295"/>
      <c r="BM32" s="295"/>
      <c r="BN32" s="295"/>
      <c r="BO32" s="295"/>
      <c r="BP32" s="295"/>
      <c r="BQ32" s="295"/>
      <c r="BR32" s="295"/>
      <c r="BS32" s="295"/>
      <c r="BT32" s="295"/>
      <c r="BU32" s="295"/>
      <c r="BV32" s="295"/>
      <c r="BW32" s="295"/>
      <c r="BX32" s="295"/>
      <c r="BY32" s="295"/>
      <c r="BZ32" s="295"/>
      <c r="CA32" s="295"/>
      <c r="CB32" s="295"/>
      <c r="CC32" s="295"/>
      <c r="CD32" s="295"/>
      <c r="CE32" s="295"/>
      <c r="CF32" s="295"/>
      <c r="CG32" s="295"/>
      <c r="CH32" s="295"/>
      <c r="CI32" s="295"/>
      <c r="CJ32" s="295"/>
      <c r="CK32" s="295"/>
      <c r="CL32" s="295"/>
      <c r="CM32" s="295"/>
      <c r="CN32" s="295"/>
      <c r="CO32" s="295"/>
      <c r="CP32" s="295"/>
      <c r="CQ32" s="295"/>
      <c r="CR32" s="295"/>
      <c r="CS32" s="295"/>
      <c r="CT32" s="295"/>
      <c r="CU32" s="295"/>
      <c r="CV32" s="295"/>
      <c r="CW32" s="295"/>
      <c r="CX32" s="295"/>
      <c r="CY32" s="295"/>
      <c r="CZ32" s="295"/>
      <c r="DA32" s="295"/>
      <c r="DB32" s="295"/>
      <c r="DC32" s="295"/>
      <c r="DD32" s="295"/>
      <c r="DE32" s="295"/>
      <c r="DF32" s="295"/>
      <c r="DG32" s="295"/>
      <c r="DH32" s="295"/>
      <c r="DI32" s="295"/>
      <c r="DJ32" s="295"/>
      <c r="DK32" s="295"/>
      <c r="DL32" s="295"/>
      <c r="DM32" s="295"/>
      <c r="DN32" s="295"/>
      <c r="DO32" s="295"/>
      <c r="DP32" s="295"/>
      <c r="DQ32" s="295"/>
      <c r="DR32" s="295"/>
      <c r="DS32" s="295"/>
      <c r="DT32" s="295"/>
      <c r="DU32" s="295"/>
      <c r="DV32" s="295"/>
      <c r="DW32" s="295"/>
      <c r="DX32" s="295"/>
      <c r="DY32" s="295"/>
      <c r="DZ32" s="295"/>
      <c r="EA32" s="295"/>
      <c r="EB32" s="295"/>
      <c r="EC32" s="295"/>
      <c r="ED32" s="295"/>
      <c r="EE32" s="295"/>
      <c r="EF32" s="295"/>
      <c r="EG32" s="295"/>
      <c r="EH32" s="295"/>
      <c r="EI32" s="295"/>
      <c r="EJ32" s="295"/>
      <c r="EK32" s="295"/>
      <c r="EL32" s="295"/>
      <c r="EM32" s="295"/>
      <c r="EN32" s="295"/>
      <c r="EO32" s="295"/>
      <c r="EP32" s="295"/>
      <c r="EQ32" s="295"/>
      <c r="ER32" s="295"/>
      <c r="ES32" s="295"/>
      <c r="ET32" s="295"/>
      <c r="EU32" s="295"/>
      <c r="EV32" s="295"/>
      <c r="EW32" s="295"/>
      <c r="EX32" s="295"/>
      <c r="EY32" s="295"/>
      <c r="EZ32" s="295"/>
      <c r="FA32" s="295"/>
      <c r="FB32" s="295"/>
      <c r="FC32" s="295"/>
      <c r="FD32" s="295"/>
      <c r="FE32" s="295"/>
      <c r="FF32" s="295"/>
      <c r="FG32" s="295"/>
      <c r="FH32" s="295"/>
      <c r="FI32" s="295"/>
      <c r="FJ32" s="295"/>
      <c r="FK32" s="295"/>
      <c r="FL32" s="295"/>
      <c r="FM32" s="295"/>
      <c r="FN32" s="295"/>
      <c r="FO32" s="295"/>
      <c r="FP32" s="295"/>
      <c r="FQ32" s="295"/>
      <c r="FR32" s="295"/>
      <c r="FS32" s="295"/>
      <c r="FT32" s="295"/>
      <c r="FU32" s="295"/>
      <c r="FV32" s="295"/>
      <c r="FW32" s="295"/>
      <c r="FX32" s="295"/>
      <c r="FY32" s="295"/>
      <c r="FZ32" s="295"/>
      <c r="GA32" s="295"/>
      <c r="GB32" s="295"/>
      <c r="GC32" s="295"/>
      <c r="GD32" s="295"/>
      <c r="GE32" s="295"/>
      <c r="GF32" s="295"/>
      <c r="GG32" s="295"/>
      <c r="GH32" s="295"/>
      <c r="GI32" s="295"/>
      <c r="GJ32" s="295"/>
      <c r="GK32" s="295"/>
      <c r="GL32" s="295"/>
      <c r="GM32" s="295"/>
      <c r="GN32" s="295"/>
      <c r="GO32" s="295"/>
      <c r="GP32" s="295"/>
      <c r="GQ32" s="295"/>
      <c r="GR32" s="295"/>
      <c r="GS32" s="295"/>
      <c r="GT32" s="295"/>
      <c r="GU32" s="295"/>
      <c r="GV32" s="295"/>
      <c r="GW32" s="295"/>
      <c r="GX32" s="295"/>
      <c r="GY32" s="295"/>
      <c r="GZ32" s="295"/>
      <c r="HA32" s="295"/>
      <c r="HB32" s="295"/>
      <c r="HC32" s="295"/>
      <c r="HD32" s="295"/>
      <c r="HE32" s="295"/>
      <c r="HF32" s="295"/>
      <c r="HG32" s="295"/>
      <c r="HH32" s="295"/>
      <c r="HI32" s="295"/>
      <c r="HJ32" s="295"/>
      <c r="HK32" s="295"/>
      <c r="HL32" s="295"/>
      <c r="HM32" s="295"/>
      <c r="HN32" s="295"/>
      <c r="HO32" s="295"/>
      <c r="HP32" s="295"/>
      <c r="HQ32" s="295"/>
      <c r="HR32" s="295"/>
      <c r="HS32" s="295"/>
      <c r="HT32" s="295"/>
      <c r="HU32" s="295"/>
      <c r="HV32" s="295"/>
      <c r="HW32" s="295"/>
      <c r="HX32" s="295"/>
      <c r="HY32" s="295"/>
      <c r="HZ32" s="295"/>
      <c r="IA32" s="295"/>
      <c r="IB32" s="295"/>
      <c r="IC32" s="295"/>
      <c r="ID32" s="295"/>
      <c r="IE32" s="295"/>
      <c r="IF32" s="295"/>
      <c r="IG32" s="295"/>
      <c r="IH32" s="295"/>
      <c r="II32" s="295"/>
      <c r="IJ32" s="295"/>
      <c r="IK32" s="295"/>
      <c r="IL32" s="295"/>
      <c r="IM32" s="295"/>
      <c r="IN32" s="295"/>
      <c r="IO32" s="295"/>
      <c r="IP32" s="295"/>
      <c r="IQ32" s="295"/>
      <c r="IR32" s="295"/>
      <c r="IS32" s="295"/>
      <c r="IT32" s="295"/>
      <c r="IU32" s="295"/>
      <c r="IV32" s="295"/>
      <c r="IW32" s="295"/>
      <c r="IX32" s="295"/>
      <c r="IY32" s="295"/>
      <c r="IZ32" s="295"/>
      <c r="JA32" s="295"/>
      <c r="JB32" s="295"/>
      <c r="JC32" s="295"/>
      <c r="JD32" s="295"/>
      <c r="JE32" s="295"/>
      <c r="JF32" s="295"/>
      <c r="JG32" s="295"/>
      <c r="JH32" s="295"/>
      <c r="JI32" s="295"/>
      <c r="JJ32" s="295"/>
      <c r="JK32" s="295"/>
      <c r="JL32" s="295"/>
      <c r="JM32" s="295"/>
      <c r="JN32" s="295"/>
      <c r="JO32" s="295"/>
      <c r="JP32" s="295"/>
      <c r="JQ32" s="295"/>
      <c r="JR32" s="295"/>
      <c r="JS32" s="295"/>
      <c r="JT32" s="295"/>
      <c r="JU32" s="295"/>
      <c r="JV32" s="295"/>
      <c r="JW32" s="295"/>
      <c r="JX32" s="295"/>
      <c r="JY32" s="295"/>
      <c r="JZ32" s="295"/>
      <c r="KA32" s="295"/>
      <c r="KB32" s="295"/>
      <c r="KC32" s="295"/>
      <c r="KD32" s="295"/>
      <c r="KE32" s="295"/>
      <c r="KF32" s="295"/>
      <c r="KG32" s="295"/>
      <c r="KH32" s="295"/>
      <c r="KI32" s="295"/>
      <c r="KJ32" s="295"/>
      <c r="KK32" s="295"/>
      <c r="KL32" s="295"/>
      <c r="KM32" s="295"/>
      <c r="KN32" s="295"/>
      <c r="KO32" s="295"/>
      <c r="KP32" s="295"/>
      <c r="KQ32" s="295"/>
      <c r="KR32" s="295"/>
      <c r="KS32" s="295"/>
      <c r="KT32" s="295"/>
      <c r="KU32" s="295"/>
      <c r="KV32" s="295"/>
      <c r="KW32" s="295"/>
      <c r="KX32" s="295"/>
      <c r="KY32" s="295"/>
      <c r="KZ32" s="295"/>
      <c r="LA32" s="295"/>
      <c r="LB32" s="295"/>
      <c r="LC32" s="295"/>
      <c r="LD32" s="295"/>
      <c r="LE32" s="295"/>
      <c r="LF32" s="295"/>
      <c r="LG32" s="295"/>
      <c r="LH32" s="295"/>
      <c r="LI32" s="295"/>
      <c r="LJ32" s="295"/>
      <c r="LK32" s="295"/>
      <c r="LL32" s="295"/>
      <c r="LM32" s="295"/>
      <c r="LN32" s="295"/>
      <c r="LO32" s="295"/>
      <c r="LP32" s="295"/>
      <c r="LQ32" s="295"/>
      <c r="LR32" s="295"/>
      <c r="LS32" s="295"/>
      <c r="LT32" s="295"/>
      <c r="LU32" s="295"/>
      <c r="LV32" s="295"/>
      <c r="LW32" s="295"/>
      <c r="LX32" s="295"/>
      <c r="LY32" s="295"/>
      <c r="LZ32" s="295"/>
      <c r="MA32" s="295"/>
      <c r="MB32" s="295"/>
      <c r="MC32" s="295"/>
      <c r="MD32" s="295"/>
      <c r="ME32" s="295"/>
      <c r="MF32" s="295"/>
      <c r="MG32" s="295"/>
      <c r="MH32" s="295"/>
      <c r="MI32" s="295"/>
      <c r="MJ32" s="295"/>
      <c r="MK32" s="295"/>
      <c r="ML32" s="295"/>
      <c r="MM32" s="295"/>
      <c r="MN32" s="295"/>
      <c r="MO32" s="295"/>
      <c r="MP32" s="295"/>
      <c r="MQ32" s="295"/>
      <c r="MR32" s="295"/>
      <c r="MS32" s="295"/>
      <c r="MT32" s="295"/>
      <c r="MU32" s="295"/>
      <c r="MV32" s="295"/>
      <c r="MW32" s="295"/>
      <c r="MX32" s="295"/>
      <c r="MY32" s="295"/>
      <c r="MZ32" s="295"/>
      <c r="NA32" s="295"/>
      <c r="NB32" s="295"/>
      <c r="NC32" s="295"/>
      <c r="ND32" s="295"/>
      <c r="NE32" s="295"/>
      <c r="NF32" s="295"/>
      <c r="NG32" s="295"/>
      <c r="NH32" s="295"/>
      <c r="NI32" s="295"/>
      <c r="NJ32" s="295"/>
      <c r="NK32" s="295"/>
      <c r="NL32" s="295"/>
      <c r="NM32" s="295"/>
      <c r="NN32" s="295"/>
      <c r="NO32" s="295"/>
      <c r="NP32" s="295"/>
      <c r="NQ32" s="295"/>
      <c r="NR32" s="295"/>
      <c r="NS32" s="295"/>
      <c r="NT32" s="295"/>
      <c r="NU32" s="295"/>
      <c r="NV32" s="295"/>
      <c r="NW32" s="295"/>
      <c r="NX32" s="295"/>
      <c r="NY32" s="295"/>
      <c r="NZ32" s="295"/>
      <c r="OA32" s="295"/>
      <c r="OB32" s="295"/>
      <c r="OC32" s="295"/>
      <c r="OD32" s="295"/>
      <c r="OE32" s="295"/>
      <c r="OF32" s="295"/>
      <c r="OG32" s="295"/>
      <c r="OH32" s="295"/>
      <c r="OI32" s="295"/>
      <c r="OJ32" s="295"/>
      <c r="OK32" s="295"/>
      <c r="OL32" s="295"/>
      <c r="OM32" s="295"/>
      <c r="ON32" s="295"/>
      <c r="OO32" s="295"/>
      <c r="OP32" s="295"/>
      <c r="OQ32" s="295"/>
      <c r="OR32" s="295"/>
      <c r="OS32" s="295"/>
      <c r="OT32" s="295"/>
      <c r="OU32" s="295"/>
      <c r="OV32" s="295"/>
      <c r="OW32" s="295"/>
      <c r="OX32" s="295"/>
      <c r="OY32" s="295"/>
      <c r="OZ32" s="295"/>
      <c r="PA32" s="295"/>
      <c r="PB32" s="295"/>
      <c r="PC32" s="295"/>
      <c r="PD32" s="295"/>
      <c r="PE32" s="295"/>
      <c r="PF32" s="295"/>
      <c r="PG32" s="295"/>
      <c r="PH32" s="295"/>
    </row>
    <row r="33" spans="1:424" s="18" customFormat="1" x14ac:dyDescent="0.2">
      <c r="A33" s="295"/>
      <c r="B33" s="8" t="s">
        <v>878</v>
      </c>
      <c r="C33" s="10" t="str">
        <f t="shared" si="25"/>
        <v>154</v>
      </c>
      <c r="D33" s="9" t="str">
        <f t="shared" si="25"/>
        <v>+18,08</v>
      </c>
      <c r="E33" s="10" t="s">
        <v>930</v>
      </c>
      <c r="F33" s="9" t="s">
        <v>931</v>
      </c>
      <c r="G33" s="302">
        <v>198.97</v>
      </c>
      <c r="H33" s="303">
        <f t="shared" si="26"/>
        <v>1.9</v>
      </c>
      <c r="I33" s="303">
        <v>1.9</v>
      </c>
      <c r="J33" s="13">
        <f t="shared" si="0"/>
        <v>1.9</v>
      </c>
      <c r="K33" s="14">
        <v>710</v>
      </c>
      <c r="L33" s="15">
        <f t="shared" si="14"/>
        <v>198.97</v>
      </c>
      <c r="M33" s="16">
        <v>1.3</v>
      </c>
      <c r="N33" s="14" t="s">
        <v>134</v>
      </c>
      <c r="O33" s="17">
        <v>0</v>
      </c>
      <c r="P33" s="13">
        <f t="shared" si="1"/>
        <v>0</v>
      </c>
      <c r="Q33" s="13">
        <f t="shared" si="2"/>
        <v>0</v>
      </c>
      <c r="R33" s="13">
        <f t="shared" si="3"/>
        <v>0</v>
      </c>
      <c r="S33" s="13">
        <f t="shared" si="4"/>
        <v>0</v>
      </c>
      <c r="T33" s="13">
        <f t="shared" si="5"/>
        <v>516.02869500000008</v>
      </c>
      <c r="U33" s="13">
        <f t="shared" si="15"/>
        <v>25.801434750000006</v>
      </c>
      <c r="V33" s="13">
        <f t="shared" si="16"/>
        <v>490.22726025000003</v>
      </c>
      <c r="W33" s="13">
        <f t="shared" si="28"/>
        <v>0</v>
      </c>
      <c r="X33" s="13">
        <f t="shared" si="29"/>
        <v>0</v>
      </c>
      <c r="Y33" s="13">
        <f t="shared" si="30"/>
        <v>24.511363012500006</v>
      </c>
      <c r="Z33" s="13">
        <f t="shared" si="31"/>
        <v>1.2900717375000004</v>
      </c>
      <c r="AA33" s="13">
        <f t="shared" si="8"/>
        <v>0</v>
      </c>
      <c r="AB33" s="13">
        <f t="shared" si="32"/>
        <v>0</v>
      </c>
      <c r="AC33" s="13">
        <f t="shared" si="35"/>
        <v>0</v>
      </c>
      <c r="AD33" s="13">
        <f t="shared" si="33"/>
        <v>377.47499039250005</v>
      </c>
      <c r="AE33" s="13">
        <f t="shared" si="34"/>
        <v>98.045452050000009</v>
      </c>
      <c r="AF33" s="13">
        <f t="shared" si="23"/>
        <v>0</v>
      </c>
      <c r="AG33" s="13">
        <f t="shared" si="24"/>
        <v>0</v>
      </c>
      <c r="AH33" s="13">
        <f t="shared" si="9"/>
        <v>14.7068178075</v>
      </c>
      <c r="AI33" s="13">
        <f t="shared" si="10"/>
        <v>258.661</v>
      </c>
      <c r="AJ33" s="13">
        <f t="shared" si="11"/>
        <v>516.02869500000008</v>
      </c>
      <c r="AK33" s="13">
        <f t="shared" si="12"/>
        <v>756.08600000000001</v>
      </c>
      <c r="AL33" s="13">
        <f t="shared" si="13"/>
        <v>0</v>
      </c>
      <c r="AM33" s="295"/>
      <c r="AN33" s="295"/>
      <c r="AO33" s="295"/>
      <c r="AP33" s="295"/>
      <c r="AQ33" s="295"/>
      <c r="AR33" s="295"/>
      <c r="AS33" s="295"/>
      <c r="AT33" s="295"/>
      <c r="AU33" s="295"/>
      <c r="AV33" s="295"/>
      <c r="AW33" s="295"/>
      <c r="AX33" s="295"/>
      <c r="AY33" s="295"/>
      <c r="AZ33" s="295"/>
      <c r="BA33" s="295"/>
      <c r="BB33" s="295"/>
      <c r="BC33" s="295"/>
      <c r="BD33" s="295"/>
      <c r="BE33" s="295"/>
      <c r="BF33" s="295"/>
      <c r="BG33" s="295"/>
      <c r="BH33" s="295"/>
      <c r="BI33" s="295"/>
      <c r="BJ33" s="295"/>
      <c r="BK33" s="295"/>
      <c r="BL33" s="295"/>
      <c r="BM33" s="295"/>
      <c r="BN33" s="295"/>
      <c r="BO33" s="295"/>
      <c r="BP33" s="295"/>
      <c r="BQ33" s="295"/>
      <c r="BR33" s="295"/>
      <c r="BS33" s="295"/>
      <c r="BT33" s="295"/>
      <c r="BU33" s="295"/>
      <c r="BV33" s="295"/>
      <c r="BW33" s="295"/>
      <c r="BX33" s="295"/>
      <c r="BY33" s="295"/>
      <c r="BZ33" s="295"/>
      <c r="CA33" s="295"/>
      <c r="CB33" s="295"/>
      <c r="CC33" s="295"/>
      <c r="CD33" s="295"/>
      <c r="CE33" s="295"/>
      <c r="CF33" s="295"/>
      <c r="CG33" s="295"/>
      <c r="CH33" s="295"/>
      <c r="CI33" s="295"/>
      <c r="CJ33" s="295"/>
      <c r="CK33" s="295"/>
      <c r="CL33" s="295"/>
      <c r="CM33" s="295"/>
      <c r="CN33" s="295"/>
      <c r="CO33" s="295"/>
      <c r="CP33" s="295"/>
      <c r="CQ33" s="295"/>
      <c r="CR33" s="295"/>
      <c r="CS33" s="295"/>
      <c r="CT33" s="295"/>
      <c r="CU33" s="295"/>
      <c r="CV33" s="295"/>
      <c r="CW33" s="295"/>
      <c r="CX33" s="295"/>
      <c r="CY33" s="295"/>
      <c r="CZ33" s="295"/>
      <c r="DA33" s="295"/>
      <c r="DB33" s="295"/>
      <c r="DC33" s="295"/>
      <c r="DD33" s="295"/>
      <c r="DE33" s="295"/>
      <c r="DF33" s="295"/>
      <c r="DG33" s="295"/>
      <c r="DH33" s="295"/>
      <c r="DI33" s="295"/>
      <c r="DJ33" s="295"/>
      <c r="DK33" s="295"/>
      <c r="DL33" s="295"/>
      <c r="DM33" s="295"/>
      <c r="DN33" s="295"/>
      <c r="DO33" s="295"/>
      <c r="DP33" s="295"/>
      <c r="DQ33" s="295"/>
      <c r="DR33" s="295"/>
      <c r="DS33" s="295"/>
      <c r="DT33" s="295"/>
      <c r="DU33" s="295"/>
      <c r="DV33" s="295"/>
      <c r="DW33" s="295"/>
      <c r="DX33" s="295"/>
      <c r="DY33" s="295"/>
      <c r="DZ33" s="295"/>
      <c r="EA33" s="295"/>
      <c r="EB33" s="295"/>
      <c r="EC33" s="295"/>
      <c r="ED33" s="295"/>
      <c r="EE33" s="295"/>
      <c r="EF33" s="295"/>
      <c r="EG33" s="295"/>
      <c r="EH33" s="295"/>
      <c r="EI33" s="295"/>
      <c r="EJ33" s="295"/>
      <c r="EK33" s="295"/>
      <c r="EL33" s="295"/>
      <c r="EM33" s="295"/>
      <c r="EN33" s="295"/>
      <c r="EO33" s="295"/>
      <c r="EP33" s="295"/>
      <c r="EQ33" s="295"/>
      <c r="ER33" s="295"/>
      <c r="ES33" s="295"/>
      <c r="ET33" s="295"/>
      <c r="EU33" s="295"/>
      <c r="EV33" s="295"/>
      <c r="EW33" s="295"/>
      <c r="EX33" s="295"/>
      <c r="EY33" s="295"/>
      <c r="EZ33" s="295"/>
      <c r="FA33" s="295"/>
      <c r="FB33" s="295"/>
      <c r="FC33" s="295"/>
      <c r="FD33" s="295"/>
      <c r="FE33" s="295"/>
      <c r="FF33" s="295"/>
      <c r="FG33" s="295"/>
      <c r="FH33" s="295"/>
      <c r="FI33" s="295"/>
      <c r="FJ33" s="295"/>
      <c r="FK33" s="295"/>
      <c r="FL33" s="295"/>
      <c r="FM33" s="295"/>
      <c r="FN33" s="295"/>
      <c r="FO33" s="295"/>
      <c r="FP33" s="295"/>
      <c r="FQ33" s="295"/>
      <c r="FR33" s="295"/>
      <c r="FS33" s="295"/>
      <c r="FT33" s="295"/>
      <c r="FU33" s="295"/>
      <c r="FV33" s="295"/>
      <c r="FW33" s="295"/>
      <c r="FX33" s="295"/>
      <c r="FY33" s="295"/>
      <c r="FZ33" s="295"/>
      <c r="GA33" s="295"/>
      <c r="GB33" s="295"/>
      <c r="GC33" s="295"/>
      <c r="GD33" s="295"/>
      <c r="GE33" s="295"/>
      <c r="GF33" s="295"/>
      <c r="GG33" s="295"/>
      <c r="GH33" s="295"/>
      <c r="GI33" s="295"/>
      <c r="GJ33" s="295"/>
      <c r="GK33" s="295"/>
      <c r="GL33" s="295"/>
      <c r="GM33" s="295"/>
      <c r="GN33" s="295"/>
      <c r="GO33" s="295"/>
      <c r="GP33" s="295"/>
      <c r="GQ33" s="295"/>
      <c r="GR33" s="295"/>
      <c r="GS33" s="295"/>
      <c r="GT33" s="295"/>
      <c r="GU33" s="295"/>
      <c r="GV33" s="295"/>
      <c r="GW33" s="295"/>
      <c r="GX33" s="295"/>
      <c r="GY33" s="295"/>
      <c r="GZ33" s="295"/>
      <c r="HA33" s="295"/>
      <c r="HB33" s="295"/>
      <c r="HC33" s="295"/>
      <c r="HD33" s="295"/>
      <c r="HE33" s="295"/>
      <c r="HF33" s="295"/>
      <c r="HG33" s="295"/>
      <c r="HH33" s="295"/>
      <c r="HI33" s="295"/>
      <c r="HJ33" s="295"/>
      <c r="HK33" s="295"/>
      <c r="HL33" s="295"/>
      <c r="HM33" s="295"/>
      <c r="HN33" s="295"/>
      <c r="HO33" s="295"/>
      <c r="HP33" s="295"/>
      <c r="HQ33" s="295"/>
      <c r="HR33" s="295"/>
      <c r="HS33" s="295"/>
      <c r="HT33" s="295"/>
      <c r="HU33" s="295"/>
      <c r="HV33" s="295"/>
      <c r="HW33" s="295"/>
      <c r="HX33" s="295"/>
      <c r="HY33" s="295"/>
      <c r="HZ33" s="295"/>
      <c r="IA33" s="295"/>
      <c r="IB33" s="295"/>
      <c r="IC33" s="295"/>
      <c r="ID33" s="295"/>
      <c r="IE33" s="295"/>
      <c r="IF33" s="295"/>
      <c r="IG33" s="295"/>
      <c r="IH33" s="295"/>
      <c r="II33" s="295"/>
      <c r="IJ33" s="295"/>
      <c r="IK33" s="295"/>
      <c r="IL33" s="295"/>
      <c r="IM33" s="295"/>
      <c r="IN33" s="295"/>
      <c r="IO33" s="295"/>
      <c r="IP33" s="295"/>
      <c r="IQ33" s="295"/>
      <c r="IR33" s="295"/>
      <c r="IS33" s="295"/>
      <c r="IT33" s="295"/>
      <c r="IU33" s="295"/>
      <c r="IV33" s="295"/>
      <c r="IW33" s="295"/>
      <c r="IX33" s="295"/>
      <c r="IY33" s="295"/>
      <c r="IZ33" s="295"/>
      <c r="JA33" s="295"/>
      <c r="JB33" s="295"/>
      <c r="JC33" s="295"/>
      <c r="JD33" s="295"/>
      <c r="JE33" s="295"/>
      <c r="JF33" s="295"/>
      <c r="JG33" s="295"/>
      <c r="JH33" s="295"/>
      <c r="JI33" s="295"/>
      <c r="JJ33" s="295"/>
      <c r="JK33" s="295"/>
      <c r="JL33" s="295"/>
      <c r="JM33" s="295"/>
      <c r="JN33" s="295"/>
      <c r="JO33" s="295"/>
      <c r="JP33" s="295"/>
      <c r="JQ33" s="295"/>
      <c r="JR33" s="295"/>
      <c r="JS33" s="295"/>
      <c r="JT33" s="295"/>
      <c r="JU33" s="295"/>
      <c r="JV33" s="295"/>
      <c r="JW33" s="295"/>
      <c r="JX33" s="295"/>
      <c r="JY33" s="295"/>
      <c r="JZ33" s="295"/>
      <c r="KA33" s="295"/>
      <c r="KB33" s="295"/>
      <c r="KC33" s="295"/>
      <c r="KD33" s="295"/>
      <c r="KE33" s="295"/>
      <c r="KF33" s="295"/>
      <c r="KG33" s="295"/>
      <c r="KH33" s="295"/>
      <c r="KI33" s="295"/>
      <c r="KJ33" s="295"/>
      <c r="KK33" s="295"/>
      <c r="KL33" s="295"/>
      <c r="KM33" s="295"/>
      <c r="KN33" s="295"/>
      <c r="KO33" s="295"/>
      <c r="KP33" s="295"/>
      <c r="KQ33" s="295"/>
      <c r="KR33" s="295"/>
      <c r="KS33" s="295"/>
      <c r="KT33" s="295"/>
      <c r="KU33" s="295"/>
      <c r="KV33" s="295"/>
      <c r="KW33" s="295"/>
      <c r="KX33" s="295"/>
      <c r="KY33" s="295"/>
      <c r="KZ33" s="295"/>
      <c r="LA33" s="295"/>
      <c r="LB33" s="295"/>
      <c r="LC33" s="295"/>
      <c r="LD33" s="295"/>
      <c r="LE33" s="295"/>
      <c r="LF33" s="295"/>
      <c r="LG33" s="295"/>
      <c r="LH33" s="295"/>
      <c r="LI33" s="295"/>
      <c r="LJ33" s="295"/>
      <c r="LK33" s="295"/>
      <c r="LL33" s="295"/>
      <c r="LM33" s="295"/>
      <c r="LN33" s="295"/>
      <c r="LO33" s="295"/>
      <c r="LP33" s="295"/>
      <c r="LQ33" s="295"/>
      <c r="LR33" s="295"/>
      <c r="LS33" s="295"/>
      <c r="LT33" s="295"/>
      <c r="LU33" s="295"/>
      <c r="LV33" s="295"/>
      <c r="LW33" s="295"/>
      <c r="LX33" s="295"/>
      <c r="LY33" s="295"/>
      <c r="LZ33" s="295"/>
      <c r="MA33" s="295"/>
      <c r="MB33" s="295"/>
      <c r="MC33" s="295"/>
      <c r="MD33" s="295"/>
      <c r="ME33" s="295"/>
      <c r="MF33" s="295"/>
      <c r="MG33" s="295"/>
      <c r="MH33" s="295"/>
      <c r="MI33" s="295"/>
      <c r="MJ33" s="295"/>
      <c r="MK33" s="295"/>
      <c r="ML33" s="295"/>
      <c r="MM33" s="295"/>
      <c r="MN33" s="295"/>
      <c r="MO33" s="295"/>
      <c r="MP33" s="295"/>
      <c r="MQ33" s="295"/>
      <c r="MR33" s="295"/>
      <c r="MS33" s="295"/>
      <c r="MT33" s="295"/>
      <c r="MU33" s="295"/>
      <c r="MV33" s="295"/>
      <c r="MW33" s="295"/>
      <c r="MX33" s="295"/>
      <c r="MY33" s="295"/>
      <c r="MZ33" s="295"/>
      <c r="NA33" s="295"/>
      <c r="NB33" s="295"/>
      <c r="NC33" s="295"/>
      <c r="ND33" s="295"/>
      <c r="NE33" s="295"/>
      <c r="NF33" s="295"/>
      <c r="NG33" s="295"/>
      <c r="NH33" s="295"/>
      <c r="NI33" s="295"/>
      <c r="NJ33" s="295"/>
      <c r="NK33" s="295"/>
      <c r="NL33" s="295"/>
      <c r="NM33" s="295"/>
      <c r="NN33" s="295"/>
      <c r="NO33" s="295"/>
      <c r="NP33" s="295"/>
      <c r="NQ33" s="295"/>
      <c r="NR33" s="295"/>
      <c r="NS33" s="295"/>
      <c r="NT33" s="295"/>
      <c r="NU33" s="295"/>
      <c r="NV33" s="295"/>
      <c r="NW33" s="295"/>
      <c r="NX33" s="295"/>
      <c r="NY33" s="295"/>
      <c r="NZ33" s="295"/>
      <c r="OA33" s="295"/>
      <c r="OB33" s="295"/>
      <c r="OC33" s="295"/>
      <c r="OD33" s="295"/>
      <c r="OE33" s="295"/>
      <c r="OF33" s="295"/>
      <c r="OG33" s="295"/>
      <c r="OH33" s="295"/>
      <c r="OI33" s="295"/>
      <c r="OJ33" s="295"/>
      <c r="OK33" s="295"/>
      <c r="OL33" s="295"/>
      <c r="OM33" s="295"/>
      <c r="ON33" s="295"/>
      <c r="OO33" s="295"/>
      <c r="OP33" s="295"/>
      <c r="OQ33" s="295"/>
      <c r="OR33" s="295"/>
      <c r="OS33" s="295"/>
      <c r="OT33" s="295"/>
      <c r="OU33" s="295"/>
      <c r="OV33" s="295"/>
      <c r="OW33" s="295"/>
      <c r="OX33" s="295"/>
      <c r="OY33" s="295"/>
      <c r="OZ33" s="295"/>
      <c r="PA33" s="295"/>
      <c r="PB33" s="295"/>
      <c r="PC33" s="295"/>
      <c r="PD33" s="295"/>
      <c r="PE33" s="295"/>
      <c r="PF33" s="295"/>
      <c r="PG33" s="295"/>
      <c r="PH33" s="295"/>
    </row>
    <row r="34" spans="1:424" s="18" customFormat="1" x14ac:dyDescent="0.2">
      <c r="A34" s="295"/>
      <c r="B34" s="8" t="s">
        <v>878</v>
      </c>
      <c r="C34" s="10" t="str">
        <f t="shared" si="25"/>
        <v>164</v>
      </c>
      <c r="D34" s="9" t="str">
        <f t="shared" si="25"/>
        <v>+17,05</v>
      </c>
      <c r="E34" s="10" t="s">
        <v>932</v>
      </c>
      <c r="F34" s="9" t="s">
        <v>933</v>
      </c>
      <c r="G34" s="302">
        <v>366.19</v>
      </c>
      <c r="H34" s="303">
        <f t="shared" si="26"/>
        <v>1.9</v>
      </c>
      <c r="I34" s="303">
        <v>1.9</v>
      </c>
      <c r="J34" s="13">
        <f t="shared" si="0"/>
        <v>1.9</v>
      </c>
      <c r="K34" s="14">
        <v>710</v>
      </c>
      <c r="L34" s="15">
        <f t="shared" si="14"/>
        <v>366.19</v>
      </c>
      <c r="M34" s="16">
        <v>1.3</v>
      </c>
      <c r="N34" s="14" t="s">
        <v>134</v>
      </c>
      <c r="O34" s="17">
        <v>0</v>
      </c>
      <c r="P34" s="13">
        <f t="shared" si="1"/>
        <v>0</v>
      </c>
      <c r="Q34" s="13">
        <f t="shared" si="2"/>
        <v>0</v>
      </c>
      <c r="R34" s="13">
        <f t="shared" si="3"/>
        <v>0</v>
      </c>
      <c r="S34" s="13">
        <f t="shared" si="4"/>
        <v>0</v>
      </c>
      <c r="T34" s="13">
        <f t="shared" si="5"/>
        <v>949.71376499999997</v>
      </c>
      <c r="U34" s="13">
        <f t="shared" si="15"/>
        <v>47.485688250000003</v>
      </c>
      <c r="V34" s="13">
        <f t="shared" si="16"/>
        <v>902.2280767499999</v>
      </c>
      <c r="W34" s="13">
        <f t="shared" si="28"/>
        <v>0</v>
      </c>
      <c r="X34" s="13">
        <f t="shared" si="29"/>
        <v>0</v>
      </c>
      <c r="Y34" s="13">
        <f t="shared" si="30"/>
        <v>45.111403837499999</v>
      </c>
      <c r="Z34" s="13">
        <f t="shared" si="31"/>
        <v>2.3742844125000002</v>
      </c>
      <c r="AA34" s="13">
        <f t="shared" si="8"/>
        <v>0</v>
      </c>
      <c r="AB34" s="13">
        <f t="shared" si="32"/>
        <v>0</v>
      </c>
      <c r="AC34" s="13">
        <f t="shared" si="35"/>
        <v>0</v>
      </c>
      <c r="AD34" s="13">
        <f t="shared" si="33"/>
        <v>694.71561909749994</v>
      </c>
      <c r="AE34" s="13">
        <f t="shared" si="34"/>
        <v>180.44561535</v>
      </c>
      <c r="AF34" s="13">
        <f t="shared" si="23"/>
        <v>0</v>
      </c>
      <c r="AG34" s="13">
        <f t="shared" si="24"/>
        <v>0</v>
      </c>
      <c r="AH34" s="13">
        <f t="shared" si="9"/>
        <v>27.066842302499996</v>
      </c>
      <c r="AI34" s="13">
        <f t="shared" si="10"/>
        <v>476.04700000000003</v>
      </c>
      <c r="AJ34" s="13">
        <f t="shared" si="11"/>
        <v>949.71376499999997</v>
      </c>
      <c r="AK34" s="13">
        <f t="shared" si="12"/>
        <v>1391.5219999999999</v>
      </c>
      <c r="AL34" s="13">
        <f t="shared" si="13"/>
        <v>0</v>
      </c>
      <c r="AM34" s="295"/>
      <c r="AN34" s="295"/>
      <c r="AO34" s="295"/>
      <c r="AP34" s="295"/>
      <c r="AQ34" s="295"/>
      <c r="AR34" s="295"/>
      <c r="AS34" s="295"/>
      <c r="AT34" s="295"/>
      <c r="AU34" s="295"/>
      <c r="AV34" s="295"/>
      <c r="AW34" s="295"/>
      <c r="AX34" s="295"/>
      <c r="AY34" s="295"/>
      <c r="AZ34" s="295"/>
      <c r="BA34" s="295"/>
      <c r="BB34" s="295"/>
      <c r="BC34" s="295"/>
      <c r="BD34" s="295"/>
      <c r="BE34" s="295"/>
      <c r="BF34" s="295"/>
      <c r="BG34" s="295"/>
      <c r="BH34" s="295"/>
      <c r="BI34" s="295"/>
      <c r="BJ34" s="295"/>
      <c r="BK34" s="295"/>
      <c r="BL34" s="295"/>
      <c r="BM34" s="295"/>
      <c r="BN34" s="295"/>
      <c r="BO34" s="295"/>
      <c r="BP34" s="295"/>
      <c r="BQ34" s="295"/>
      <c r="BR34" s="295"/>
      <c r="BS34" s="295"/>
      <c r="BT34" s="295"/>
      <c r="BU34" s="295"/>
      <c r="BV34" s="295"/>
      <c r="BW34" s="295"/>
      <c r="BX34" s="295"/>
      <c r="BY34" s="295"/>
      <c r="BZ34" s="295"/>
      <c r="CA34" s="295"/>
      <c r="CB34" s="295"/>
      <c r="CC34" s="295"/>
      <c r="CD34" s="295"/>
      <c r="CE34" s="295"/>
      <c r="CF34" s="295"/>
      <c r="CG34" s="295"/>
      <c r="CH34" s="295"/>
      <c r="CI34" s="295"/>
      <c r="CJ34" s="295"/>
      <c r="CK34" s="295"/>
      <c r="CL34" s="295"/>
      <c r="CM34" s="295"/>
      <c r="CN34" s="295"/>
      <c r="CO34" s="295"/>
      <c r="CP34" s="295"/>
      <c r="CQ34" s="295"/>
      <c r="CR34" s="295"/>
      <c r="CS34" s="295"/>
      <c r="CT34" s="295"/>
      <c r="CU34" s="295"/>
      <c r="CV34" s="295"/>
      <c r="CW34" s="295"/>
      <c r="CX34" s="295"/>
      <c r="CY34" s="295"/>
      <c r="CZ34" s="295"/>
      <c r="DA34" s="295"/>
      <c r="DB34" s="295"/>
      <c r="DC34" s="295"/>
      <c r="DD34" s="295"/>
      <c r="DE34" s="295"/>
      <c r="DF34" s="295"/>
      <c r="DG34" s="295"/>
      <c r="DH34" s="295"/>
      <c r="DI34" s="295"/>
      <c r="DJ34" s="295"/>
      <c r="DK34" s="295"/>
      <c r="DL34" s="295"/>
      <c r="DM34" s="295"/>
      <c r="DN34" s="295"/>
      <c r="DO34" s="295"/>
      <c r="DP34" s="295"/>
      <c r="DQ34" s="295"/>
      <c r="DR34" s="295"/>
      <c r="DS34" s="295"/>
      <c r="DT34" s="295"/>
      <c r="DU34" s="295"/>
      <c r="DV34" s="295"/>
      <c r="DW34" s="295"/>
      <c r="DX34" s="295"/>
      <c r="DY34" s="295"/>
      <c r="DZ34" s="295"/>
      <c r="EA34" s="295"/>
      <c r="EB34" s="295"/>
      <c r="EC34" s="295"/>
      <c r="ED34" s="295"/>
      <c r="EE34" s="295"/>
      <c r="EF34" s="295"/>
      <c r="EG34" s="295"/>
      <c r="EH34" s="295"/>
      <c r="EI34" s="295"/>
      <c r="EJ34" s="295"/>
      <c r="EK34" s="295"/>
      <c r="EL34" s="295"/>
      <c r="EM34" s="295"/>
      <c r="EN34" s="295"/>
      <c r="EO34" s="295"/>
      <c r="EP34" s="295"/>
      <c r="EQ34" s="295"/>
      <c r="ER34" s="295"/>
      <c r="ES34" s="295"/>
      <c r="ET34" s="295"/>
      <c r="EU34" s="295"/>
      <c r="EV34" s="295"/>
      <c r="EW34" s="295"/>
      <c r="EX34" s="295"/>
      <c r="EY34" s="295"/>
      <c r="EZ34" s="295"/>
      <c r="FA34" s="295"/>
      <c r="FB34" s="295"/>
      <c r="FC34" s="295"/>
      <c r="FD34" s="295"/>
      <c r="FE34" s="295"/>
      <c r="FF34" s="295"/>
      <c r="FG34" s="295"/>
      <c r="FH34" s="295"/>
      <c r="FI34" s="295"/>
      <c r="FJ34" s="295"/>
      <c r="FK34" s="295"/>
      <c r="FL34" s="295"/>
      <c r="FM34" s="295"/>
      <c r="FN34" s="295"/>
      <c r="FO34" s="295"/>
      <c r="FP34" s="295"/>
      <c r="FQ34" s="295"/>
      <c r="FR34" s="295"/>
      <c r="FS34" s="295"/>
      <c r="FT34" s="295"/>
      <c r="FU34" s="295"/>
      <c r="FV34" s="295"/>
      <c r="FW34" s="295"/>
      <c r="FX34" s="295"/>
      <c r="FY34" s="295"/>
      <c r="FZ34" s="295"/>
      <c r="GA34" s="295"/>
      <c r="GB34" s="295"/>
      <c r="GC34" s="295"/>
      <c r="GD34" s="295"/>
      <c r="GE34" s="295"/>
      <c r="GF34" s="295"/>
      <c r="GG34" s="295"/>
      <c r="GH34" s="295"/>
      <c r="GI34" s="295"/>
      <c r="GJ34" s="295"/>
      <c r="GK34" s="295"/>
      <c r="GL34" s="295"/>
      <c r="GM34" s="295"/>
      <c r="GN34" s="295"/>
      <c r="GO34" s="295"/>
      <c r="GP34" s="295"/>
      <c r="GQ34" s="295"/>
      <c r="GR34" s="295"/>
      <c r="GS34" s="295"/>
      <c r="GT34" s="295"/>
      <c r="GU34" s="295"/>
      <c r="GV34" s="295"/>
      <c r="GW34" s="295"/>
      <c r="GX34" s="295"/>
      <c r="GY34" s="295"/>
      <c r="GZ34" s="295"/>
      <c r="HA34" s="295"/>
      <c r="HB34" s="295"/>
      <c r="HC34" s="295"/>
      <c r="HD34" s="295"/>
      <c r="HE34" s="295"/>
      <c r="HF34" s="295"/>
      <c r="HG34" s="295"/>
      <c r="HH34" s="295"/>
      <c r="HI34" s="295"/>
      <c r="HJ34" s="295"/>
      <c r="HK34" s="295"/>
      <c r="HL34" s="295"/>
      <c r="HM34" s="295"/>
      <c r="HN34" s="295"/>
      <c r="HO34" s="295"/>
      <c r="HP34" s="295"/>
      <c r="HQ34" s="295"/>
      <c r="HR34" s="295"/>
      <c r="HS34" s="295"/>
      <c r="HT34" s="295"/>
      <c r="HU34" s="295"/>
      <c r="HV34" s="295"/>
      <c r="HW34" s="295"/>
      <c r="HX34" s="295"/>
      <c r="HY34" s="295"/>
      <c r="HZ34" s="295"/>
      <c r="IA34" s="295"/>
      <c r="IB34" s="295"/>
      <c r="IC34" s="295"/>
      <c r="ID34" s="295"/>
      <c r="IE34" s="295"/>
      <c r="IF34" s="295"/>
      <c r="IG34" s="295"/>
      <c r="IH34" s="295"/>
      <c r="II34" s="295"/>
      <c r="IJ34" s="295"/>
      <c r="IK34" s="295"/>
      <c r="IL34" s="295"/>
      <c r="IM34" s="295"/>
      <c r="IN34" s="295"/>
      <c r="IO34" s="295"/>
      <c r="IP34" s="295"/>
      <c r="IQ34" s="295"/>
      <c r="IR34" s="295"/>
      <c r="IS34" s="295"/>
      <c r="IT34" s="295"/>
      <c r="IU34" s="295"/>
      <c r="IV34" s="295"/>
      <c r="IW34" s="295"/>
      <c r="IX34" s="295"/>
      <c r="IY34" s="295"/>
      <c r="IZ34" s="295"/>
      <c r="JA34" s="295"/>
      <c r="JB34" s="295"/>
      <c r="JC34" s="295"/>
      <c r="JD34" s="295"/>
      <c r="JE34" s="295"/>
      <c r="JF34" s="295"/>
      <c r="JG34" s="295"/>
      <c r="JH34" s="295"/>
      <c r="JI34" s="295"/>
      <c r="JJ34" s="295"/>
      <c r="JK34" s="295"/>
      <c r="JL34" s="295"/>
      <c r="JM34" s="295"/>
      <c r="JN34" s="295"/>
      <c r="JO34" s="295"/>
      <c r="JP34" s="295"/>
      <c r="JQ34" s="295"/>
      <c r="JR34" s="295"/>
      <c r="JS34" s="295"/>
      <c r="JT34" s="295"/>
      <c r="JU34" s="295"/>
      <c r="JV34" s="295"/>
      <c r="JW34" s="295"/>
      <c r="JX34" s="295"/>
      <c r="JY34" s="295"/>
      <c r="JZ34" s="295"/>
      <c r="KA34" s="295"/>
      <c r="KB34" s="295"/>
      <c r="KC34" s="295"/>
      <c r="KD34" s="295"/>
      <c r="KE34" s="295"/>
      <c r="KF34" s="295"/>
      <c r="KG34" s="295"/>
      <c r="KH34" s="295"/>
      <c r="KI34" s="295"/>
      <c r="KJ34" s="295"/>
      <c r="KK34" s="295"/>
      <c r="KL34" s="295"/>
      <c r="KM34" s="295"/>
      <c r="KN34" s="295"/>
      <c r="KO34" s="295"/>
      <c r="KP34" s="295"/>
      <c r="KQ34" s="295"/>
      <c r="KR34" s="295"/>
      <c r="KS34" s="295"/>
      <c r="KT34" s="295"/>
      <c r="KU34" s="295"/>
      <c r="KV34" s="295"/>
      <c r="KW34" s="295"/>
      <c r="KX34" s="295"/>
      <c r="KY34" s="295"/>
      <c r="KZ34" s="295"/>
      <c r="LA34" s="295"/>
      <c r="LB34" s="295"/>
      <c r="LC34" s="295"/>
      <c r="LD34" s="295"/>
      <c r="LE34" s="295"/>
      <c r="LF34" s="295"/>
      <c r="LG34" s="295"/>
      <c r="LH34" s="295"/>
      <c r="LI34" s="295"/>
      <c r="LJ34" s="295"/>
      <c r="LK34" s="295"/>
      <c r="LL34" s="295"/>
      <c r="LM34" s="295"/>
      <c r="LN34" s="295"/>
      <c r="LO34" s="295"/>
      <c r="LP34" s="295"/>
      <c r="LQ34" s="295"/>
      <c r="LR34" s="295"/>
      <c r="LS34" s="295"/>
      <c r="LT34" s="295"/>
      <c r="LU34" s="295"/>
      <c r="LV34" s="295"/>
      <c r="LW34" s="295"/>
      <c r="LX34" s="295"/>
      <c r="LY34" s="295"/>
      <c r="LZ34" s="295"/>
      <c r="MA34" s="295"/>
      <c r="MB34" s="295"/>
      <c r="MC34" s="295"/>
      <c r="MD34" s="295"/>
      <c r="ME34" s="295"/>
      <c r="MF34" s="295"/>
      <c r="MG34" s="295"/>
      <c r="MH34" s="295"/>
      <c r="MI34" s="295"/>
      <c r="MJ34" s="295"/>
      <c r="MK34" s="295"/>
      <c r="ML34" s="295"/>
      <c r="MM34" s="295"/>
      <c r="MN34" s="295"/>
      <c r="MO34" s="295"/>
      <c r="MP34" s="295"/>
      <c r="MQ34" s="295"/>
      <c r="MR34" s="295"/>
      <c r="MS34" s="295"/>
      <c r="MT34" s="295"/>
      <c r="MU34" s="295"/>
      <c r="MV34" s="295"/>
      <c r="MW34" s="295"/>
      <c r="MX34" s="295"/>
      <c r="MY34" s="295"/>
      <c r="MZ34" s="295"/>
      <c r="NA34" s="295"/>
      <c r="NB34" s="295"/>
      <c r="NC34" s="295"/>
      <c r="ND34" s="295"/>
      <c r="NE34" s="295"/>
      <c r="NF34" s="295"/>
      <c r="NG34" s="295"/>
      <c r="NH34" s="295"/>
      <c r="NI34" s="295"/>
      <c r="NJ34" s="295"/>
      <c r="NK34" s="295"/>
      <c r="NL34" s="295"/>
      <c r="NM34" s="295"/>
      <c r="NN34" s="295"/>
      <c r="NO34" s="295"/>
      <c r="NP34" s="295"/>
      <c r="NQ34" s="295"/>
      <c r="NR34" s="295"/>
      <c r="NS34" s="295"/>
      <c r="NT34" s="295"/>
      <c r="NU34" s="295"/>
      <c r="NV34" s="295"/>
      <c r="NW34" s="295"/>
      <c r="NX34" s="295"/>
      <c r="NY34" s="295"/>
      <c r="NZ34" s="295"/>
      <c r="OA34" s="295"/>
      <c r="OB34" s="295"/>
      <c r="OC34" s="295"/>
      <c r="OD34" s="295"/>
      <c r="OE34" s="295"/>
      <c r="OF34" s="295"/>
      <c r="OG34" s="295"/>
      <c r="OH34" s="295"/>
      <c r="OI34" s="295"/>
      <c r="OJ34" s="295"/>
      <c r="OK34" s="295"/>
      <c r="OL34" s="295"/>
      <c r="OM34" s="295"/>
      <c r="ON34" s="295"/>
      <c r="OO34" s="295"/>
      <c r="OP34" s="295"/>
      <c r="OQ34" s="295"/>
      <c r="OR34" s="295"/>
      <c r="OS34" s="295"/>
      <c r="OT34" s="295"/>
      <c r="OU34" s="295"/>
      <c r="OV34" s="295"/>
      <c r="OW34" s="295"/>
      <c r="OX34" s="295"/>
      <c r="OY34" s="295"/>
      <c r="OZ34" s="295"/>
      <c r="PA34" s="295"/>
      <c r="PB34" s="295"/>
      <c r="PC34" s="295"/>
      <c r="PD34" s="295"/>
      <c r="PE34" s="295"/>
      <c r="PF34" s="295"/>
      <c r="PG34" s="295"/>
      <c r="PH34" s="295"/>
    </row>
    <row r="35" spans="1:424" s="18" customFormat="1" x14ac:dyDescent="0.2">
      <c r="A35" s="295"/>
      <c r="B35" s="8" t="s">
        <v>878</v>
      </c>
      <c r="C35" s="10" t="str">
        <f t="shared" si="25"/>
        <v>183</v>
      </c>
      <c r="D35" s="9" t="str">
        <f t="shared" si="25"/>
        <v>+03,24</v>
      </c>
      <c r="E35" s="10" t="s">
        <v>934</v>
      </c>
      <c r="F35" s="9" t="s">
        <v>132</v>
      </c>
      <c r="G35" s="302">
        <v>196.76</v>
      </c>
      <c r="H35" s="303">
        <f t="shared" si="26"/>
        <v>1.9</v>
      </c>
      <c r="I35" s="303">
        <v>2.34</v>
      </c>
      <c r="J35" s="13">
        <f t="shared" si="0"/>
        <v>2.12</v>
      </c>
      <c r="K35" s="14">
        <v>710</v>
      </c>
      <c r="L35" s="15">
        <f t="shared" si="14"/>
        <v>196.76</v>
      </c>
      <c r="M35" s="16">
        <v>1.7</v>
      </c>
      <c r="N35" s="14" t="s">
        <v>134</v>
      </c>
      <c r="O35" s="17">
        <v>0</v>
      </c>
      <c r="P35" s="13">
        <f t="shared" si="1"/>
        <v>0</v>
      </c>
      <c r="Q35" s="13">
        <f t="shared" si="2"/>
        <v>0</v>
      </c>
      <c r="R35" s="13">
        <f t="shared" si="3"/>
        <v>0</v>
      </c>
      <c r="S35" s="13">
        <f t="shared" si="4"/>
        <v>0</v>
      </c>
      <c r="T35" s="13">
        <f t="shared" si="5"/>
        <v>744.57919199999992</v>
      </c>
      <c r="U35" s="13">
        <f t="shared" si="15"/>
        <v>37.228959599999996</v>
      </c>
      <c r="V35" s="13">
        <f t="shared" si="16"/>
        <v>707.35023239999987</v>
      </c>
      <c r="W35" s="13">
        <f t="shared" si="28"/>
        <v>0</v>
      </c>
      <c r="X35" s="13">
        <f t="shared" si="29"/>
        <v>0</v>
      </c>
      <c r="Y35" s="13">
        <f t="shared" si="30"/>
        <v>35.367511619999995</v>
      </c>
      <c r="Z35" s="13">
        <f t="shared" si="31"/>
        <v>1.8614479799999999</v>
      </c>
      <c r="AA35" s="13">
        <f t="shared" si="8"/>
        <v>0</v>
      </c>
      <c r="AB35" s="13">
        <f t="shared" si="32"/>
        <v>0</v>
      </c>
      <c r="AC35" s="13">
        <f t="shared" si="35"/>
        <v>0</v>
      </c>
      <c r="AD35" s="13">
        <f t="shared" si="33"/>
        <v>544.65967894799996</v>
      </c>
      <c r="AE35" s="13">
        <f t="shared" si="34"/>
        <v>141.47004647999998</v>
      </c>
      <c r="AF35" s="13">
        <f t="shared" si="23"/>
        <v>0</v>
      </c>
      <c r="AG35" s="13">
        <f t="shared" si="24"/>
        <v>0</v>
      </c>
      <c r="AH35" s="13">
        <f t="shared" si="9"/>
        <v>21.220506971999995</v>
      </c>
      <c r="AI35" s="13">
        <f t="shared" si="10"/>
        <v>334.49199999999996</v>
      </c>
      <c r="AJ35" s="13">
        <f t="shared" si="11"/>
        <v>744.57919199999992</v>
      </c>
      <c r="AK35" s="13">
        <f t="shared" si="12"/>
        <v>0</v>
      </c>
      <c r="AL35" s="13">
        <f t="shared" si="13"/>
        <v>417.13119999999998</v>
      </c>
      <c r="AM35" s="295"/>
      <c r="AN35" s="295"/>
      <c r="AO35" s="295"/>
      <c r="AP35" s="295"/>
      <c r="AQ35" s="295"/>
      <c r="AR35" s="295"/>
      <c r="AS35" s="295"/>
      <c r="AT35" s="295"/>
      <c r="AU35" s="295"/>
      <c r="AV35" s="295"/>
      <c r="AW35" s="295"/>
      <c r="AX35" s="295"/>
      <c r="AY35" s="295"/>
      <c r="AZ35" s="295"/>
      <c r="BA35" s="295"/>
      <c r="BB35" s="295"/>
      <c r="BC35" s="295"/>
      <c r="BD35" s="295"/>
      <c r="BE35" s="295"/>
      <c r="BF35" s="295"/>
      <c r="BG35" s="295"/>
      <c r="BH35" s="295"/>
      <c r="BI35" s="295"/>
      <c r="BJ35" s="295"/>
      <c r="BK35" s="295"/>
      <c r="BL35" s="295"/>
      <c r="BM35" s="295"/>
      <c r="BN35" s="295"/>
      <c r="BO35" s="295"/>
      <c r="BP35" s="295"/>
      <c r="BQ35" s="295"/>
      <c r="BR35" s="295"/>
      <c r="BS35" s="295"/>
      <c r="BT35" s="295"/>
      <c r="BU35" s="295"/>
      <c r="BV35" s="295"/>
      <c r="BW35" s="295"/>
      <c r="BX35" s="295"/>
      <c r="BY35" s="295"/>
      <c r="BZ35" s="295"/>
      <c r="CA35" s="295"/>
      <c r="CB35" s="295"/>
      <c r="CC35" s="295"/>
      <c r="CD35" s="295"/>
      <c r="CE35" s="295"/>
      <c r="CF35" s="295"/>
      <c r="CG35" s="295"/>
      <c r="CH35" s="295"/>
      <c r="CI35" s="295"/>
      <c r="CJ35" s="295"/>
      <c r="CK35" s="295"/>
      <c r="CL35" s="295"/>
      <c r="CM35" s="295"/>
      <c r="CN35" s="295"/>
      <c r="CO35" s="295"/>
      <c r="CP35" s="295"/>
      <c r="CQ35" s="295"/>
      <c r="CR35" s="295"/>
      <c r="CS35" s="295"/>
      <c r="CT35" s="295"/>
      <c r="CU35" s="295"/>
      <c r="CV35" s="295"/>
      <c r="CW35" s="295"/>
      <c r="CX35" s="295"/>
      <c r="CY35" s="295"/>
      <c r="CZ35" s="295"/>
      <c r="DA35" s="295"/>
      <c r="DB35" s="295"/>
      <c r="DC35" s="295"/>
      <c r="DD35" s="295"/>
      <c r="DE35" s="295"/>
      <c r="DF35" s="295"/>
      <c r="DG35" s="295"/>
      <c r="DH35" s="295"/>
      <c r="DI35" s="295"/>
      <c r="DJ35" s="295"/>
      <c r="DK35" s="295"/>
      <c r="DL35" s="295"/>
      <c r="DM35" s="295"/>
      <c r="DN35" s="295"/>
      <c r="DO35" s="295"/>
      <c r="DP35" s="295"/>
      <c r="DQ35" s="295"/>
      <c r="DR35" s="295"/>
      <c r="DS35" s="295"/>
      <c r="DT35" s="295"/>
      <c r="DU35" s="295"/>
      <c r="DV35" s="295"/>
      <c r="DW35" s="295"/>
      <c r="DX35" s="295"/>
      <c r="DY35" s="295"/>
      <c r="DZ35" s="295"/>
      <c r="EA35" s="295"/>
      <c r="EB35" s="295"/>
      <c r="EC35" s="295"/>
      <c r="ED35" s="295"/>
      <c r="EE35" s="295"/>
      <c r="EF35" s="295"/>
      <c r="EG35" s="295"/>
      <c r="EH35" s="295"/>
      <c r="EI35" s="295"/>
      <c r="EJ35" s="295"/>
      <c r="EK35" s="295"/>
      <c r="EL35" s="295"/>
      <c r="EM35" s="295"/>
      <c r="EN35" s="295"/>
      <c r="EO35" s="295"/>
      <c r="EP35" s="295"/>
      <c r="EQ35" s="295"/>
      <c r="ER35" s="295"/>
      <c r="ES35" s="295"/>
      <c r="ET35" s="295"/>
      <c r="EU35" s="295"/>
      <c r="EV35" s="295"/>
      <c r="EW35" s="295"/>
      <c r="EX35" s="295"/>
      <c r="EY35" s="295"/>
      <c r="EZ35" s="295"/>
      <c r="FA35" s="295"/>
      <c r="FB35" s="295"/>
      <c r="FC35" s="295"/>
      <c r="FD35" s="295"/>
      <c r="FE35" s="295"/>
      <c r="FF35" s="295"/>
      <c r="FG35" s="295"/>
      <c r="FH35" s="295"/>
      <c r="FI35" s="295"/>
      <c r="FJ35" s="295"/>
      <c r="FK35" s="295"/>
      <c r="FL35" s="295"/>
      <c r="FM35" s="295"/>
      <c r="FN35" s="295"/>
      <c r="FO35" s="295"/>
      <c r="FP35" s="295"/>
      <c r="FQ35" s="295"/>
      <c r="FR35" s="295"/>
      <c r="FS35" s="295"/>
      <c r="FT35" s="295"/>
      <c r="FU35" s="295"/>
      <c r="FV35" s="295"/>
      <c r="FW35" s="295"/>
      <c r="FX35" s="295"/>
      <c r="FY35" s="295"/>
      <c r="FZ35" s="295"/>
      <c r="GA35" s="295"/>
      <c r="GB35" s="295"/>
      <c r="GC35" s="295"/>
      <c r="GD35" s="295"/>
      <c r="GE35" s="295"/>
      <c r="GF35" s="295"/>
      <c r="GG35" s="295"/>
      <c r="GH35" s="295"/>
      <c r="GI35" s="295"/>
      <c r="GJ35" s="295"/>
      <c r="GK35" s="295"/>
      <c r="GL35" s="295"/>
      <c r="GM35" s="295"/>
      <c r="GN35" s="295"/>
      <c r="GO35" s="295"/>
      <c r="GP35" s="295"/>
      <c r="GQ35" s="295"/>
      <c r="GR35" s="295"/>
      <c r="GS35" s="295"/>
      <c r="GT35" s="295"/>
      <c r="GU35" s="295"/>
      <c r="GV35" s="295"/>
      <c r="GW35" s="295"/>
      <c r="GX35" s="295"/>
      <c r="GY35" s="295"/>
      <c r="GZ35" s="295"/>
      <c r="HA35" s="295"/>
      <c r="HB35" s="295"/>
      <c r="HC35" s="295"/>
      <c r="HD35" s="295"/>
      <c r="HE35" s="295"/>
      <c r="HF35" s="295"/>
      <c r="HG35" s="295"/>
      <c r="HH35" s="295"/>
      <c r="HI35" s="295"/>
      <c r="HJ35" s="295"/>
      <c r="HK35" s="295"/>
      <c r="HL35" s="295"/>
      <c r="HM35" s="295"/>
      <c r="HN35" s="295"/>
      <c r="HO35" s="295"/>
      <c r="HP35" s="295"/>
      <c r="HQ35" s="295"/>
      <c r="HR35" s="295"/>
      <c r="HS35" s="295"/>
      <c r="HT35" s="295"/>
      <c r="HU35" s="295"/>
      <c r="HV35" s="295"/>
      <c r="HW35" s="295"/>
      <c r="HX35" s="295"/>
      <c r="HY35" s="295"/>
      <c r="HZ35" s="295"/>
      <c r="IA35" s="295"/>
      <c r="IB35" s="295"/>
      <c r="IC35" s="295"/>
      <c r="ID35" s="295"/>
      <c r="IE35" s="295"/>
      <c r="IF35" s="295"/>
      <c r="IG35" s="295"/>
      <c r="IH35" s="295"/>
      <c r="II35" s="295"/>
      <c r="IJ35" s="295"/>
      <c r="IK35" s="295"/>
      <c r="IL35" s="295"/>
      <c r="IM35" s="295"/>
      <c r="IN35" s="295"/>
      <c r="IO35" s="295"/>
      <c r="IP35" s="295"/>
      <c r="IQ35" s="295"/>
      <c r="IR35" s="295"/>
      <c r="IS35" s="295"/>
      <c r="IT35" s="295"/>
      <c r="IU35" s="295"/>
      <c r="IV35" s="295"/>
      <c r="IW35" s="295"/>
      <c r="IX35" s="295"/>
      <c r="IY35" s="295"/>
      <c r="IZ35" s="295"/>
      <c r="JA35" s="295"/>
      <c r="JB35" s="295"/>
      <c r="JC35" s="295"/>
      <c r="JD35" s="295"/>
      <c r="JE35" s="295"/>
      <c r="JF35" s="295"/>
      <c r="JG35" s="295"/>
      <c r="JH35" s="295"/>
      <c r="JI35" s="295"/>
      <c r="JJ35" s="295"/>
      <c r="JK35" s="295"/>
      <c r="JL35" s="295"/>
      <c r="JM35" s="295"/>
      <c r="JN35" s="295"/>
      <c r="JO35" s="295"/>
      <c r="JP35" s="295"/>
      <c r="JQ35" s="295"/>
      <c r="JR35" s="295"/>
      <c r="JS35" s="295"/>
      <c r="JT35" s="295"/>
      <c r="JU35" s="295"/>
      <c r="JV35" s="295"/>
      <c r="JW35" s="295"/>
      <c r="JX35" s="295"/>
      <c r="JY35" s="295"/>
      <c r="JZ35" s="295"/>
      <c r="KA35" s="295"/>
      <c r="KB35" s="295"/>
      <c r="KC35" s="295"/>
      <c r="KD35" s="295"/>
      <c r="KE35" s="295"/>
      <c r="KF35" s="295"/>
      <c r="KG35" s="295"/>
      <c r="KH35" s="295"/>
      <c r="KI35" s="295"/>
      <c r="KJ35" s="295"/>
      <c r="KK35" s="295"/>
      <c r="KL35" s="295"/>
      <c r="KM35" s="295"/>
      <c r="KN35" s="295"/>
      <c r="KO35" s="295"/>
      <c r="KP35" s="295"/>
      <c r="KQ35" s="295"/>
      <c r="KR35" s="295"/>
      <c r="KS35" s="295"/>
      <c r="KT35" s="295"/>
      <c r="KU35" s="295"/>
      <c r="KV35" s="295"/>
      <c r="KW35" s="295"/>
      <c r="KX35" s="295"/>
      <c r="KY35" s="295"/>
      <c r="KZ35" s="295"/>
      <c r="LA35" s="295"/>
      <c r="LB35" s="295"/>
      <c r="LC35" s="295"/>
      <c r="LD35" s="295"/>
      <c r="LE35" s="295"/>
      <c r="LF35" s="295"/>
      <c r="LG35" s="295"/>
      <c r="LH35" s="295"/>
      <c r="LI35" s="295"/>
      <c r="LJ35" s="295"/>
      <c r="LK35" s="295"/>
      <c r="LL35" s="295"/>
      <c r="LM35" s="295"/>
      <c r="LN35" s="295"/>
      <c r="LO35" s="295"/>
      <c r="LP35" s="295"/>
      <c r="LQ35" s="295"/>
      <c r="LR35" s="295"/>
      <c r="LS35" s="295"/>
      <c r="LT35" s="295"/>
      <c r="LU35" s="295"/>
      <c r="LV35" s="295"/>
      <c r="LW35" s="295"/>
      <c r="LX35" s="295"/>
      <c r="LY35" s="295"/>
      <c r="LZ35" s="295"/>
      <c r="MA35" s="295"/>
      <c r="MB35" s="295"/>
      <c r="MC35" s="295"/>
      <c r="MD35" s="295"/>
      <c r="ME35" s="295"/>
      <c r="MF35" s="295"/>
      <c r="MG35" s="295"/>
      <c r="MH35" s="295"/>
      <c r="MI35" s="295"/>
      <c r="MJ35" s="295"/>
      <c r="MK35" s="295"/>
      <c r="ML35" s="295"/>
      <c r="MM35" s="295"/>
      <c r="MN35" s="295"/>
      <c r="MO35" s="295"/>
      <c r="MP35" s="295"/>
      <c r="MQ35" s="295"/>
      <c r="MR35" s="295"/>
      <c r="MS35" s="295"/>
      <c r="MT35" s="295"/>
      <c r="MU35" s="295"/>
      <c r="MV35" s="295"/>
      <c r="MW35" s="295"/>
      <c r="MX35" s="295"/>
      <c r="MY35" s="295"/>
      <c r="MZ35" s="295"/>
      <c r="NA35" s="295"/>
      <c r="NB35" s="295"/>
      <c r="NC35" s="295"/>
      <c r="ND35" s="295"/>
      <c r="NE35" s="295"/>
      <c r="NF35" s="295"/>
      <c r="NG35" s="295"/>
      <c r="NH35" s="295"/>
      <c r="NI35" s="295"/>
      <c r="NJ35" s="295"/>
      <c r="NK35" s="295"/>
      <c r="NL35" s="295"/>
      <c r="NM35" s="295"/>
      <c r="NN35" s="295"/>
      <c r="NO35" s="295"/>
      <c r="NP35" s="295"/>
      <c r="NQ35" s="295"/>
      <c r="NR35" s="295"/>
      <c r="NS35" s="295"/>
      <c r="NT35" s="295"/>
      <c r="NU35" s="295"/>
      <c r="NV35" s="295"/>
      <c r="NW35" s="295"/>
      <c r="NX35" s="295"/>
      <c r="NY35" s="295"/>
      <c r="NZ35" s="295"/>
      <c r="OA35" s="295"/>
      <c r="OB35" s="295"/>
      <c r="OC35" s="295"/>
      <c r="OD35" s="295"/>
      <c r="OE35" s="295"/>
      <c r="OF35" s="295"/>
      <c r="OG35" s="295"/>
      <c r="OH35" s="295"/>
      <c r="OI35" s="295"/>
      <c r="OJ35" s="295"/>
      <c r="OK35" s="295"/>
      <c r="OL35" s="295"/>
      <c r="OM35" s="295"/>
      <c r="ON35" s="295"/>
      <c r="OO35" s="295"/>
      <c r="OP35" s="295"/>
      <c r="OQ35" s="295"/>
      <c r="OR35" s="295"/>
      <c r="OS35" s="295"/>
      <c r="OT35" s="295"/>
      <c r="OU35" s="295"/>
      <c r="OV35" s="295"/>
      <c r="OW35" s="295"/>
      <c r="OX35" s="295"/>
      <c r="OY35" s="295"/>
      <c r="OZ35" s="295"/>
      <c r="PA35" s="295"/>
      <c r="PB35" s="295"/>
      <c r="PC35" s="295"/>
      <c r="PD35" s="295"/>
      <c r="PE35" s="295"/>
      <c r="PF35" s="295"/>
      <c r="PG35" s="295"/>
      <c r="PH35" s="295"/>
    </row>
    <row r="36" spans="1:424" s="18" customFormat="1" x14ac:dyDescent="0.2">
      <c r="A36" s="295"/>
      <c r="B36" s="8" t="s">
        <v>878</v>
      </c>
      <c r="C36" s="10" t="str">
        <f t="shared" si="25"/>
        <v>193</v>
      </c>
      <c r="D36" s="9" t="str">
        <f t="shared" si="25"/>
        <v>+00,00</v>
      </c>
      <c r="E36" s="10" t="s">
        <v>935</v>
      </c>
      <c r="F36" s="9" t="s">
        <v>936</v>
      </c>
      <c r="G36" s="302">
        <v>236.3</v>
      </c>
      <c r="H36" s="303">
        <f t="shared" si="26"/>
        <v>2.34</v>
      </c>
      <c r="I36" s="303">
        <v>1.9</v>
      </c>
      <c r="J36" s="13">
        <f t="shared" si="0"/>
        <v>2.12</v>
      </c>
      <c r="K36" s="14">
        <v>710</v>
      </c>
      <c r="L36" s="15">
        <f t="shared" si="14"/>
        <v>236.3</v>
      </c>
      <c r="M36" s="16">
        <v>1.7</v>
      </c>
      <c r="N36" s="14" t="s">
        <v>134</v>
      </c>
      <c r="O36" s="17">
        <f t="shared" si="27"/>
        <v>1417.8000000000002</v>
      </c>
      <c r="P36" s="13">
        <f t="shared" si="1"/>
        <v>0</v>
      </c>
      <c r="Q36" s="13">
        <f t="shared" si="2"/>
        <v>0</v>
      </c>
      <c r="R36" s="13">
        <f t="shared" si="3"/>
        <v>0</v>
      </c>
      <c r="S36" s="13">
        <f t="shared" si="4"/>
        <v>0</v>
      </c>
      <c r="T36" s="13">
        <f t="shared" si="5"/>
        <v>894.20646000000011</v>
      </c>
      <c r="U36" s="13">
        <f t="shared" si="15"/>
        <v>44.71032300000001</v>
      </c>
      <c r="V36" s="13">
        <f t="shared" si="16"/>
        <v>849.49613700000009</v>
      </c>
      <c r="W36" s="13">
        <f t="shared" si="28"/>
        <v>0</v>
      </c>
      <c r="X36" s="13">
        <f t="shared" si="29"/>
        <v>0</v>
      </c>
      <c r="Y36" s="13">
        <f t="shared" si="30"/>
        <v>42.474806850000007</v>
      </c>
      <c r="Z36" s="13">
        <f t="shared" si="31"/>
        <v>2.2355161500000005</v>
      </c>
      <c r="AA36" s="13">
        <f t="shared" si="8"/>
        <v>0</v>
      </c>
      <c r="AB36" s="13">
        <f t="shared" si="32"/>
        <v>0</v>
      </c>
      <c r="AC36" s="13">
        <f t="shared" si="35"/>
        <v>0</v>
      </c>
      <c r="AD36" s="13">
        <f t="shared" si="33"/>
        <v>654.11202549000006</v>
      </c>
      <c r="AE36" s="13">
        <f t="shared" si="34"/>
        <v>169.89922740000003</v>
      </c>
      <c r="AF36" s="13">
        <f t="shared" si="23"/>
        <v>0</v>
      </c>
      <c r="AG36" s="13">
        <f t="shared" si="24"/>
        <v>0</v>
      </c>
      <c r="AH36" s="13">
        <f t="shared" si="9"/>
        <v>25.484884110000003</v>
      </c>
      <c r="AI36" s="13">
        <f t="shared" si="10"/>
        <v>401.71000000000004</v>
      </c>
      <c r="AJ36" s="13">
        <f t="shared" si="11"/>
        <v>894.20646000000011</v>
      </c>
      <c r="AK36" s="13">
        <f t="shared" si="12"/>
        <v>0</v>
      </c>
      <c r="AL36" s="13">
        <f t="shared" si="13"/>
        <v>500.95600000000007</v>
      </c>
      <c r="AM36" s="295"/>
      <c r="AN36" s="295"/>
      <c r="AO36" s="295"/>
      <c r="AP36" s="295"/>
      <c r="AQ36" s="295"/>
      <c r="AR36" s="295"/>
      <c r="AS36" s="295"/>
      <c r="AT36" s="295"/>
      <c r="AU36" s="295"/>
      <c r="AV36" s="295"/>
      <c r="AW36" s="295"/>
      <c r="AX36" s="295"/>
      <c r="AY36" s="295"/>
      <c r="AZ36" s="295"/>
      <c r="BA36" s="295"/>
      <c r="BB36" s="295"/>
      <c r="BC36" s="295"/>
      <c r="BD36" s="295"/>
      <c r="BE36" s="295"/>
      <c r="BF36" s="295"/>
      <c r="BG36" s="295"/>
      <c r="BH36" s="295"/>
      <c r="BI36" s="295"/>
      <c r="BJ36" s="295"/>
      <c r="BK36" s="295"/>
      <c r="BL36" s="295"/>
      <c r="BM36" s="295"/>
      <c r="BN36" s="295"/>
      <c r="BO36" s="295"/>
      <c r="BP36" s="295"/>
      <c r="BQ36" s="295"/>
      <c r="BR36" s="295"/>
      <c r="BS36" s="295"/>
      <c r="BT36" s="295"/>
      <c r="BU36" s="295"/>
      <c r="BV36" s="295"/>
      <c r="BW36" s="295"/>
      <c r="BX36" s="295"/>
      <c r="BY36" s="295"/>
      <c r="BZ36" s="295"/>
      <c r="CA36" s="295"/>
      <c r="CB36" s="295"/>
      <c r="CC36" s="295"/>
      <c r="CD36" s="295"/>
      <c r="CE36" s="295"/>
      <c r="CF36" s="295"/>
      <c r="CG36" s="295"/>
      <c r="CH36" s="295"/>
      <c r="CI36" s="295"/>
      <c r="CJ36" s="295"/>
      <c r="CK36" s="295"/>
      <c r="CL36" s="295"/>
      <c r="CM36" s="295"/>
      <c r="CN36" s="295"/>
      <c r="CO36" s="295"/>
      <c r="CP36" s="295"/>
      <c r="CQ36" s="295"/>
      <c r="CR36" s="295"/>
      <c r="CS36" s="295"/>
      <c r="CT36" s="295"/>
      <c r="CU36" s="295"/>
      <c r="CV36" s="295"/>
      <c r="CW36" s="295"/>
      <c r="CX36" s="295"/>
      <c r="CY36" s="295"/>
      <c r="CZ36" s="295"/>
      <c r="DA36" s="295"/>
      <c r="DB36" s="295"/>
      <c r="DC36" s="295"/>
      <c r="DD36" s="295"/>
      <c r="DE36" s="295"/>
      <c r="DF36" s="295"/>
      <c r="DG36" s="295"/>
      <c r="DH36" s="295"/>
      <c r="DI36" s="295"/>
      <c r="DJ36" s="295"/>
      <c r="DK36" s="295"/>
      <c r="DL36" s="295"/>
      <c r="DM36" s="295"/>
      <c r="DN36" s="295"/>
      <c r="DO36" s="295"/>
      <c r="DP36" s="295"/>
      <c r="DQ36" s="295"/>
      <c r="DR36" s="295"/>
      <c r="DS36" s="295"/>
      <c r="DT36" s="295"/>
      <c r="DU36" s="295"/>
      <c r="DV36" s="295"/>
      <c r="DW36" s="295"/>
      <c r="DX36" s="295"/>
      <c r="DY36" s="295"/>
      <c r="DZ36" s="295"/>
      <c r="EA36" s="295"/>
      <c r="EB36" s="295"/>
      <c r="EC36" s="295"/>
      <c r="ED36" s="295"/>
      <c r="EE36" s="295"/>
      <c r="EF36" s="295"/>
      <c r="EG36" s="295"/>
      <c r="EH36" s="295"/>
      <c r="EI36" s="295"/>
      <c r="EJ36" s="295"/>
      <c r="EK36" s="295"/>
      <c r="EL36" s="295"/>
      <c r="EM36" s="295"/>
      <c r="EN36" s="295"/>
      <c r="EO36" s="295"/>
      <c r="EP36" s="295"/>
      <c r="EQ36" s="295"/>
      <c r="ER36" s="295"/>
      <c r="ES36" s="295"/>
      <c r="ET36" s="295"/>
      <c r="EU36" s="295"/>
      <c r="EV36" s="295"/>
      <c r="EW36" s="295"/>
      <c r="EX36" s="295"/>
      <c r="EY36" s="295"/>
      <c r="EZ36" s="295"/>
      <c r="FA36" s="295"/>
      <c r="FB36" s="295"/>
      <c r="FC36" s="295"/>
      <c r="FD36" s="295"/>
      <c r="FE36" s="295"/>
      <c r="FF36" s="295"/>
      <c r="FG36" s="295"/>
      <c r="FH36" s="295"/>
      <c r="FI36" s="295"/>
      <c r="FJ36" s="295"/>
      <c r="FK36" s="295"/>
      <c r="FL36" s="295"/>
      <c r="FM36" s="295"/>
      <c r="FN36" s="295"/>
      <c r="FO36" s="295"/>
      <c r="FP36" s="295"/>
      <c r="FQ36" s="295"/>
      <c r="FR36" s="295"/>
      <c r="FS36" s="295"/>
      <c r="FT36" s="295"/>
      <c r="FU36" s="295"/>
      <c r="FV36" s="295"/>
      <c r="FW36" s="295"/>
      <c r="FX36" s="295"/>
      <c r="FY36" s="295"/>
      <c r="FZ36" s="295"/>
      <c r="GA36" s="295"/>
      <c r="GB36" s="295"/>
      <c r="GC36" s="295"/>
      <c r="GD36" s="295"/>
      <c r="GE36" s="295"/>
      <c r="GF36" s="295"/>
      <c r="GG36" s="295"/>
      <c r="GH36" s="295"/>
      <c r="GI36" s="295"/>
      <c r="GJ36" s="295"/>
      <c r="GK36" s="295"/>
      <c r="GL36" s="295"/>
      <c r="GM36" s="295"/>
      <c r="GN36" s="295"/>
      <c r="GO36" s="295"/>
      <c r="GP36" s="295"/>
      <c r="GQ36" s="295"/>
      <c r="GR36" s="295"/>
      <c r="GS36" s="295"/>
      <c r="GT36" s="295"/>
      <c r="GU36" s="295"/>
      <c r="GV36" s="295"/>
      <c r="GW36" s="295"/>
      <c r="GX36" s="295"/>
      <c r="GY36" s="295"/>
      <c r="GZ36" s="295"/>
      <c r="HA36" s="295"/>
      <c r="HB36" s="295"/>
      <c r="HC36" s="295"/>
      <c r="HD36" s="295"/>
      <c r="HE36" s="295"/>
      <c r="HF36" s="295"/>
      <c r="HG36" s="295"/>
      <c r="HH36" s="295"/>
      <c r="HI36" s="295"/>
      <c r="HJ36" s="295"/>
      <c r="HK36" s="295"/>
      <c r="HL36" s="295"/>
      <c r="HM36" s="295"/>
      <c r="HN36" s="295"/>
      <c r="HO36" s="295"/>
      <c r="HP36" s="295"/>
      <c r="HQ36" s="295"/>
      <c r="HR36" s="295"/>
      <c r="HS36" s="295"/>
      <c r="HT36" s="295"/>
      <c r="HU36" s="295"/>
      <c r="HV36" s="295"/>
      <c r="HW36" s="295"/>
      <c r="HX36" s="295"/>
      <c r="HY36" s="295"/>
      <c r="HZ36" s="295"/>
      <c r="IA36" s="295"/>
      <c r="IB36" s="295"/>
      <c r="IC36" s="295"/>
      <c r="ID36" s="295"/>
      <c r="IE36" s="295"/>
      <c r="IF36" s="295"/>
      <c r="IG36" s="295"/>
      <c r="IH36" s="295"/>
      <c r="II36" s="295"/>
      <c r="IJ36" s="295"/>
      <c r="IK36" s="295"/>
      <c r="IL36" s="295"/>
      <c r="IM36" s="295"/>
      <c r="IN36" s="295"/>
      <c r="IO36" s="295"/>
      <c r="IP36" s="295"/>
      <c r="IQ36" s="295"/>
      <c r="IR36" s="295"/>
      <c r="IS36" s="295"/>
      <c r="IT36" s="295"/>
      <c r="IU36" s="295"/>
      <c r="IV36" s="295"/>
      <c r="IW36" s="295"/>
      <c r="IX36" s="295"/>
      <c r="IY36" s="295"/>
      <c r="IZ36" s="295"/>
      <c r="JA36" s="295"/>
      <c r="JB36" s="295"/>
      <c r="JC36" s="295"/>
      <c r="JD36" s="295"/>
      <c r="JE36" s="295"/>
      <c r="JF36" s="295"/>
      <c r="JG36" s="295"/>
      <c r="JH36" s="295"/>
      <c r="JI36" s="295"/>
      <c r="JJ36" s="295"/>
      <c r="JK36" s="295"/>
      <c r="JL36" s="295"/>
      <c r="JM36" s="295"/>
      <c r="JN36" s="295"/>
      <c r="JO36" s="295"/>
      <c r="JP36" s="295"/>
      <c r="JQ36" s="295"/>
      <c r="JR36" s="295"/>
      <c r="JS36" s="295"/>
      <c r="JT36" s="295"/>
      <c r="JU36" s="295"/>
      <c r="JV36" s="295"/>
      <c r="JW36" s="295"/>
      <c r="JX36" s="295"/>
      <c r="JY36" s="295"/>
      <c r="JZ36" s="295"/>
      <c r="KA36" s="295"/>
      <c r="KB36" s="295"/>
      <c r="KC36" s="295"/>
      <c r="KD36" s="295"/>
      <c r="KE36" s="295"/>
      <c r="KF36" s="295"/>
      <c r="KG36" s="295"/>
      <c r="KH36" s="295"/>
      <c r="KI36" s="295"/>
      <c r="KJ36" s="295"/>
      <c r="KK36" s="295"/>
      <c r="KL36" s="295"/>
      <c r="KM36" s="295"/>
      <c r="KN36" s="295"/>
      <c r="KO36" s="295"/>
      <c r="KP36" s="295"/>
      <c r="KQ36" s="295"/>
      <c r="KR36" s="295"/>
      <c r="KS36" s="295"/>
      <c r="KT36" s="295"/>
      <c r="KU36" s="295"/>
      <c r="KV36" s="295"/>
      <c r="KW36" s="295"/>
      <c r="KX36" s="295"/>
      <c r="KY36" s="295"/>
      <c r="KZ36" s="295"/>
      <c r="LA36" s="295"/>
      <c r="LB36" s="295"/>
      <c r="LC36" s="295"/>
      <c r="LD36" s="295"/>
      <c r="LE36" s="295"/>
      <c r="LF36" s="295"/>
      <c r="LG36" s="295"/>
      <c r="LH36" s="295"/>
      <c r="LI36" s="295"/>
      <c r="LJ36" s="295"/>
      <c r="LK36" s="295"/>
      <c r="LL36" s="295"/>
      <c r="LM36" s="295"/>
      <c r="LN36" s="295"/>
      <c r="LO36" s="295"/>
      <c r="LP36" s="295"/>
      <c r="LQ36" s="295"/>
      <c r="LR36" s="295"/>
      <c r="LS36" s="295"/>
      <c r="LT36" s="295"/>
      <c r="LU36" s="295"/>
      <c r="LV36" s="295"/>
      <c r="LW36" s="295"/>
      <c r="LX36" s="295"/>
      <c r="LY36" s="295"/>
      <c r="LZ36" s="295"/>
      <c r="MA36" s="295"/>
      <c r="MB36" s="295"/>
      <c r="MC36" s="295"/>
      <c r="MD36" s="295"/>
      <c r="ME36" s="295"/>
      <c r="MF36" s="295"/>
      <c r="MG36" s="295"/>
      <c r="MH36" s="295"/>
      <c r="MI36" s="295"/>
      <c r="MJ36" s="295"/>
      <c r="MK36" s="295"/>
      <c r="ML36" s="295"/>
      <c r="MM36" s="295"/>
      <c r="MN36" s="295"/>
      <c r="MO36" s="295"/>
      <c r="MP36" s="295"/>
      <c r="MQ36" s="295"/>
      <c r="MR36" s="295"/>
      <c r="MS36" s="295"/>
      <c r="MT36" s="295"/>
      <c r="MU36" s="295"/>
      <c r="MV36" s="295"/>
      <c r="MW36" s="295"/>
      <c r="MX36" s="295"/>
      <c r="MY36" s="295"/>
      <c r="MZ36" s="295"/>
      <c r="NA36" s="295"/>
      <c r="NB36" s="295"/>
      <c r="NC36" s="295"/>
      <c r="ND36" s="295"/>
      <c r="NE36" s="295"/>
      <c r="NF36" s="295"/>
      <c r="NG36" s="295"/>
      <c r="NH36" s="295"/>
      <c r="NI36" s="295"/>
      <c r="NJ36" s="295"/>
      <c r="NK36" s="295"/>
      <c r="NL36" s="295"/>
      <c r="NM36" s="295"/>
      <c r="NN36" s="295"/>
      <c r="NO36" s="295"/>
      <c r="NP36" s="295"/>
      <c r="NQ36" s="295"/>
      <c r="NR36" s="295"/>
      <c r="NS36" s="295"/>
      <c r="NT36" s="295"/>
      <c r="NU36" s="295"/>
      <c r="NV36" s="295"/>
      <c r="NW36" s="295"/>
      <c r="NX36" s="295"/>
      <c r="NY36" s="295"/>
      <c r="NZ36" s="295"/>
      <c r="OA36" s="295"/>
      <c r="OB36" s="295"/>
      <c r="OC36" s="295"/>
      <c r="OD36" s="295"/>
      <c r="OE36" s="295"/>
      <c r="OF36" s="295"/>
      <c r="OG36" s="295"/>
      <c r="OH36" s="295"/>
      <c r="OI36" s="295"/>
      <c r="OJ36" s="295"/>
      <c r="OK36" s="295"/>
      <c r="OL36" s="295"/>
      <c r="OM36" s="295"/>
      <c r="ON36" s="295"/>
      <c r="OO36" s="295"/>
      <c r="OP36" s="295"/>
      <c r="OQ36" s="295"/>
      <c r="OR36" s="295"/>
      <c r="OS36" s="295"/>
      <c r="OT36" s="295"/>
      <c r="OU36" s="295"/>
      <c r="OV36" s="295"/>
      <c r="OW36" s="295"/>
      <c r="OX36" s="295"/>
      <c r="OY36" s="295"/>
      <c r="OZ36" s="295"/>
      <c r="PA36" s="295"/>
      <c r="PB36" s="295"/>
      <c r="PC36" s="295"/>
      <c r="PD36" s="295"/>
      <c r="PE36" s="295"/>
      <c r="PF36" s="295"/>
      <c r="PG36" s="295"/>
      <c r="PH36" s="295"/>
    </row>
    <row r="37" spans="1:424" s="18" customFormat="1" x14ac:dyDescent="0.2">
      <c r="A37" s="295"/>
      <c r="B37" s="8" t="s">
        <v>878</v>
      </c>
      <c r="C37" s="10" t="str">
        <f t="shared" si="25"/>
        <v>204</v>
      </c>
      <c r="D37" s="9" t="str">
        <f t="shared" si="25"/>
        <v>+16,30</v>
      </c>
      <c r="E37" s="10" t="s">
        <v>937</v>
      </c>
      <c r="F37" s="9" t="s">
        <v>938</v>
      </c>
      <c r="G37" s="302">
        <v>110.9</v>
      </c>
      <c r="H37" s="303">
        <f t="shared" si="26"/>
        <v>1.9</v>
      </c>
      <c r="I37" s="303">
        <v>1.9</v>
      </c>
      <c r="J37" s="13">
        <f t="shared" si="0"/>
        <v>1.9</v>
      </c>
      <c r="K37" s="14">
        <v>710</v>
      </c>
      <c r="L37" s="15">
        <f t="shared" si="14"/>
        <v>110.9</v>
      </c>
      <c r="M37" s="16">
        <v>1.3</v>
      </c>
      <c r="N37" s="14" t="s">
        <v>134</v>
      </c>
      <c r="O37" s="17">
        <v>0</v>
      </c>
      <c r="P37" s="13">
        <f t="shared" si="1"/>
        <v>0</v>
      </c>
      <c r="Q37" s="13">
        <f t="shared" si="2"/>
        <v>0</v>
      </c>
      <c r="R37" s="13">
        <f t="shared" si="3"/>
        <v>0</v>
      </c>
      <c r="S37" s="13">
        <f t="shared" si="4"/>
        <v>0</v>
      </c>
      <c r="T37" s="13">
        <f t="shared" si="5"/>
        <v>287.61914999999999</v>
      </c>
      <c r="U37" s="13">
        <f t="shared" si="15"/>
        <v>14.380957500000001</v>
      </c>
      <c r="V37" s="13">
        <f t="shared" si="16"/>
        <v>273.23819249999997</v>
      </c>
      <c r="W37" s="13">
        <f t="shared" si="28"/>
        <v>0</v>
      </c>
      <c r="X37" s="13">
        <f t="shared" si="29"/>
        <v>0</v>
      </c>
      <c r="Y37" s="13">
        <f t="shared" si="30"/>
        <v>13.661909625</v>
      </c>
      <c r="Z37" s="13">
        <f t="shared" si="31"/>
        <v>0.71904787500000011</v>
      </c>
      <c r="AA37" s="13">
        <f t="shared" si="8"/>
        <v>0</v>
      </c>
      <c r="AB37" s="13">
        <f t="shared" si="32"/>
        <v>0</v>
      </c>
      <c r="AC37" s="13">
        <f t="shared" si="35"/>
        <v>0</v>
      </c>
      <c r="AD37" s="13">
        <f t="shared" si="33"/>
        <v>210.39340822499997</v>
      </c>
      <c r="AE37" s="13">
        <f t="shared" si="34"/>
        <v>54.647638499999999</v>
      </c>
      <c r="AF37" s="13">
        <f t="shared" si="23"/>
        <v>0</v>
      </c>
      <c r="AG37" s="13">
        <f t="shared" si="24"/>
        <v>0</v>
      </c>
      <c r="AH37" s="13">
        <f t="shared" si="9"/>
        <v>8.1971457749999992</v>
      </c>
      <c r="AI37" s="13">
        <f t="shared" si="10"/>
        <v>144.17000000000002</v>
      </c>
      <c r="AJ37" s="13">
        <f t="shared" si="11"/>
        <v>287.61914999999999</v>
      </c>
      <c r="AK37" s="13">
        <f t="shared" si="12"/>
        <v>421.42</v>
      </c>
      <c r="AL37" s="13">
        <f t="shared" si="13"/>
        <v>0</v>
      </c>
      <c r="AM37" s="295"/>
      <c r="AN37" s="295"/>
      <c r="AO37" s="295"/>
      <c r="AP37" s="295"/>
      <c r="AQ37" s="295"/>
      <c r="AR37" s="295"/>
      <c r="AS37" s="295"/>
      <c r="AT37" s="295"/>
      <c r="AU37" s="295"/>
      <c r="AV37" s="295"/>
      <c r="AW37" s="295"/>
      <c r="AX37" s="295"/>
      <c r="AY37" s="295"/>
      <c r="AZ37" s="295"/>
      <c r="BA37" s="295"/>
      <c r="BB37" s="295"/>
      <c r="BC37" s="295"/>
      <c r="BD37" s="295"/>
      <c r="BE37" s="295"/>
      <c r="BF37" s="295"/>
      <c r="BG37" s="295"/>
      <c r="BH37" s="295"/>
      <c r="BI37" s="295"/>
      <c r="BJ37" s="295"/>
      <c r="BK37" s="295"/>
      <c r="BL37" s="295"/>
      <c r="BM37" s="295"/>
      <c r="BN37" s="295"/>
      <c r="BO37" s="295"/>
      <c r="BP37" s="295"/>
      <c r="BQ37" s="295"/>
      <c r="BR37" s="295"/>
      <c r="BS37" s="295"/>
      <c r="BT37" s="295"/>
      <c r="BU37" s="295"/>
      <c r="BV37" s="295"/>
      <c r="BW37" s="295"/>
      <c r="BX37" s="295"/>
      <c r="BY37" s="295"/>
      <c r="BZ37" s="295"/>
      <c r="CA37" s="295"/>
      <c r="CB37" s="295"/>
      <c r="CC37" s="295"/>
      <c r="CD37" s="295"/>
      <c r="CE37" s="295"/>
      <c r="CF37" s="295"/>
      <c r="CG37" s="295"/>
      <c r="CH37" s="295"/>
      <c r="CI37" s="295"/>
      <c r="CJ37" s="295"/>
      <c r="CK37" s="295"/>
      <c r="CL37" s="295"/>
      <c r="CM37" s="295"/>
      <c r="CN37" s="295"/>
      <c r="CO37" s="295"/>
      <c r="CP37" s="295"/>
      <c r="CQ37" s="295"/>
      <c r="CR37" s="295"/>
      <c r="CS37" s="295"/>
      <c r="CT37" s="295"/>
      <c r="CU37" s="295"/>
      <c r="CV37" s="295"/>
      <c r="CW37" s="295"/>
      <c r="CX37" s="295"/>
      <c r="CY37" s="295"/>
      <c r="CZ37" s="295"/>
      <c r="DA37" s="295"/>
      <c r="DB37" s="295"/>
      <c r="DC37" s="295"/>
      <c r="DD37" s="295"/>
      <c r="DE37" s="295"/>
      <c r="DF37" s="295"/>
      <c r="DG37" s="295"/>
      <c r="DH37" s="295"/>
      <c r="DI37" s="295"/>
      <c r="DJ37" s="295"/>
      <c r="DK37" s="295"/>
      <c r="DL37" s="295"/>
      <c r="DM37" s="295"/>
      <c r="DN37" s="295"/>
      <c r="DO37" s="295"/>
      <c r="DP37" s="295"/>
      <c r="DQ37" s="295"/>
      <c r="DR37" s="295"/>
      <c r="DS37" s="295"/>
      <c r="DT37" s="295"/>
      <c r="DU37" s="295"/>
      <c r="DV37" s="295"/>
      <c r="DW37" s="295"/>
      <c r="DX37" s="295"/>
      <c r="DY37" s="295"/>
      <c r="DZ37" s="295"/>
      <c r="EA37" s="295"/>
      <c r="EB37" s="295"/>
      <c r="EC37" s="295"/>
      <c r="ED37" s="295"/>
      <c r="EE37" s="295"/>
      <c r="EF37" s="295"/>
      <c r="EG37" s="295"/>
      <c r="EH37" s="295"/>
      <c r="EI37" s="295"/>
      <c r="EJ37" s="295"/>
      <c r="EK37" s="295"/>
      <c r="EL37" s="295"/>
      <c r="EM37" s="295"/>
      <c r="EN37" s="295"/>
      <c r="EO37" s="295"/>
      <c r="EP37" s="295"/>
      <c r="EQ37" s="295"/>
      <c r="ER37" s="295"/>
      <c r="ES37" s="295"/>
      <c r="ET37" s="295"/>
      <c r="EU37" s="295"/>
      <c r="EV37" s="295"/>
      <c r="EW37" s="295"/>
      <c r="EX37" s="295"/>
      <c r="EY37" s="295"/>
      <c r="EZ37" s="295"/>
      <c r="FA37" s="295"/>
      <c r="FB37" s="295"/>
      <c r="FC37" s="295"/>
      <c r="FD37" s="295"/>
      <c r="FE37" s="295"/>
      <c r="FF37" s="295"/>
      <c r="FG37" s="295"/>
      <c r="FH37" s="295"/>
      <c r="FI37" s="295"/>
      <c r="FJ37" s="295"/>
      <c r="FK37" s="295"/>
      <c r="FL37" s="295"/>
      <c r="FM37" s="295"/>
      <c r="FN37" s="295"/>
      <c r="FO37" s="295"/>
      <c r="FP37" s="295"/>
      <c r="FQ37" s="295"/>
      <c r="FR37" s="295"/>
      <c r="FS37" s="295"/>
      <c r="FT37" s="295"/>
      <c r="FU37" s="295"/>
      <c r="FV37" s="295"/>
      <c r="FW37" s="295"/>
      <c r="FX37" s="295"/>
      <c r="FY37" s="295"/>
      <c r="FZ37" s="295"/>
      <c r="GA37" s="295"/>
      <c r="GB37" s="295"/>
      <c r="GC37" s="295"/>
      <c r="GD37" s="295"/>
      <c r="GE37" s="295"/>
      <c r="GF37" s="295"/>
      <c r="GG37" s="295"/>
      <c r="GH37" s="295"/>
      <c r="GI37" s="295"/>
      <c r="GJ37" s="295"/>
      <c r="GK37" s="295"/>
      <c r="GL37" s="295"/>
      <c r="GM37" s="295"/>
      <c r="GN37" s="295"/>
      <c r="GO37" s="295"/>
      <c r="GP37" s="295"/>
      <c r="GQ37" s="295"/>
      <c r="GR37" s="295"/>
      <c r="GS37" s="295"/>
      <c r="GT37" s="295"/>
      <c r="GU37" s="295"/>
      <c r="GV37" s="295"/>
      <c r="GW37" s="295"/>
      <c r="GX37" s="295"/>
      <c r="GY37" s="295"/>
      <c r="GZ37" s="295"/>
      <c r="HA37" s="295"/>
      <c r="HB37" s="295"/>
      <c r="HC37" s="295"/>
      <c r="HD37" s="295"/>
      <c r="HE37" s="295"/>
      <c r="HF37" s="295"/>
      <c r="HG37" s="295"/>
      <c r="HH37" s="295"/>
      <c r="HI37" s="295"/>
      <c r="HJ37" s="295"/>
      <c r="HK37" s="295"/>
      <c r="HL37" s="295"/>
      <c r="HM37" s="295"/>
      <c r="HN37" s="295"/>
      <c r="HO37" s="295"/>
      <c r="HP37" s="295"/>
      <c r="HQ37" s="295"/>
      <c r="HR37" s="295"/>
      <c r="HS37" s="295"/>
      <c r="HT37" s="295"/>
      <c r="HU37" s="295"/>
      <c r="HV37" s="295"/>
      <c r="HW37" s="295"/>
      <c r="HX37" s="295"/>
      <c r="HY37" s="295"/>
      <c r="HZ37" s="295"/>
      <c r="IA37" s="295"/>
      <c r="IB37" s="295"/>
      <c r="IC37" s="295"/>
      <c r="ID37" s="295"/>
      <c r="IE37" s="295"/>
      <c r="IF37" s="295"/>
      <c r="IG37" s="295"/>
      <c r="IH37" s="295"/>
      <c r="II37" s="295"/>
      <c r="IJ37" s="295"/>
      <c r="IK37" s="295"/>
      <c r="IL37" s="295"/>
      <c r="IM37" s="295"/>
      <c r="IN37" s="295"/>
      <c r="IO37" s="295"/>
      <c r="IP37" s="295"/>
      <c r="IQ37" s="295"/>
      <c r="IR37" s="295"/>
      <c r="IS37" s="295"/>
      <c r="IT37" s="295"/>
      <c r="IU37" s="295"/>
      <c r="IV37" s="295"/>
      <c r="IW37" s="295"/>
      <c r="IX37" s="295"/>
      <c r="IY37" s="295"/>
      <c r="IZ37" s="295"/>
      <c r="JA37" s="295"/>
      <c r="JB37" s="295"/>
      <c r="JC37" s="295"/>
      <c r="JD37" s="295"/>
      <c r="JE37" s="295"/>
      <c r="JF37" s="295"/>
      <c r="JG37" s="295"/>
      <c r="JH37" s="295"/>
      <c r="JI37" s="295"/>
      <c r="JJ37" s="295"/>
      <c r="JK37" s="295"/>
      <c r="JL37" s="295"/>
      <c r="JM37" s="295"/>
      <c r="JN37" s="295"/>
      <c r="JO37" s="295"/>
      <c r="JP37" s="295"/>
      <c r="JQ37" s="295"/>
      <c r="JR37" s="295"/>
      <c r="JS37" s="295"/>
      <c r="JT37" s="295"/>
      <c r="JU37" s="295"/>
      <c r="JV37" s="295"/>
      <c r="JW37" s="295"/>
      <c r="JX37" s="295"/>
      <c r="JY37" s="295"/>
      <c r="JZ37" s="295"/>
      <c r="KA37" s="295"/>
      <c r="KB37" s="295"/>
      <c r="KC37" s="295"/>
      <c r="KD37" s="295"/>
      <c r="KE37" s="295"/>
      <c r="KF37" s="295"/>
      <c r="KG37" s="295"/>
      <c r="KH37" s="295"/>
      <c r="KI37" s="295"/>
      <c r="KJ37" s="295"/>
      <c r="KK37" s="295"/>
      <c r="KL37" s="295"/>
      <c r="KM37" s="295"/>
      <c r="KN37" s="295"/>
      <c r="KO37" s="295"/>
      <c r="KP37" s="295"/>
      <c r="KQ37" s="295"/>
      <c r="KR37" s="295"/>
      <c r="KS37" s="295"/>
      <c r="KT37" s="295"/>
      <c r="KU37" s="295"/>
      <c r="KV37" s="295"/>
      <c r="KW37" s="295"/>
      <c r="KX37" s="295"/>
      <c r="KY37" s="295"/>
      <c r="KZ37" s="295"/>
      <c r="LA37" s="295"/>
      <c r="LB37" s="295"/>
      <c r="LC37" s="295"/>
      <c r="LD37" s="295"/>
      <c r="LE37" s="295"/>
      <c r="LF37" s="295"/>
      <c r="LG37" s="295"/>
      <c r="LH37" s="295"/>
      <c r="LI37" s="295"/>
      <c r="LJ37" s="295"/>
      <c r="LK37" s="295"/>
      <c r="LL37" s="295"/>
      <c r="LM37" s="295"/>
      <c r="LN37" s="295"/>
      <c r="LO37" s="295"/>
      <c r="LP37" s="295"/>
      <c r="LQ37" s="295"/>
      <c r="LR37" s="295"/>
      <c r="LS37" s="295"/>
      <c r="LT37" s="295"/>
      <c r="LU37" s="295"/>
      <c r="LV37" s="295"/>
      <c r="LW37" s="295"/>
      <c r="LX37" s="295"/>
      <c r="LY37" s="295"/>
      <c r="LZ37" s="295"/>
      <c r="MA37" s="295"/>
      <c r="MB37" s="295"/>
      <c r="MC37" s="295"/>
      <c r="MD37" s="295"/>
      <c r="ME37" s="295"/>
      <c r="MF37" s="295"/>
      <c r="MG37" s="295"/>
      <c r="MH37" s="295"/>
      <c r="MI37" s="295"/>
      <c r="MJ37" s="295"/>
      <c r="MK37" s="295"/>
      <c r="ML37" s="295"/>
      <c r="MM37" s="295"/>
      <c r="MN37" s="295"/>
      <c r="MO37" s="295"/>
      <c r="MP37" s="295"/>
      <c r="MQ37" s="295"/>
      <c r="MR37" s="295"/>
      <c r="MS37" s="295"/>
      <c r="MT37" s="295"/>
      <c r="MU37" s="295"/>
      <c r="MV37" s="295"/>
      <c r="MW37" s="295"/>
      <c r="MX37" s="295"/>
      <c r="MY37" s="295"/>
      <c r="MZ37" s="295"/>
      <c r="NA37" s="295"/>
      <c r="NB37" s="295"/>
      <c r="NC37" s="295"/>
      <c r="ND37" s="295"/>
      <c r="NE37" s="295"/>
      <c r="NF37" s="295"/>
      <c r="NG37" s="295"/>
      <c r="NH37" s="295"/>
      <c r="NI37" s="295"/>
      <c r="NJ37" s="295"/>
      <c r="NK37" s="295"/>
      <c r="NL37" s="295"/>
      <c r="NM37" s="295"/>
      <c r="NN37" s="295"/>
      <c r="NO37" s="295"/>
      <c r="NP37" s="295"/>
      <c r="NQ37" s="295"/>
      <c r="NR37" s="295"/>
      <c r="NS37" s="295"/>
      <c r="NT37" s="295"/>
      <c r="NU37" s="295"/>
      <c r="NV37" s="295"/>
      <c r="NW37" s="295"/>
      <c r="NX37" s="295"/>
      <c r="NY37" s="295"/>
      <c r="NZ37" s="295"/>
      <c r="OA37" s="295"/>
      <c r="OB37" s="295"/>
      <c r="OC37" s="295"/>
      <c r="OD37" s="295"/>
      <c r="OE37" s="295"/>
      <c r="OF37" s="295"/>
      <c r="OG37" s="295"/>
      <c r="OH37" s="295"/>
      <c r="OI37" s="295"/>
      <c r="OJ37" s="295"/>
      <c r="OK37" s="295"/>
      <c r="OL37" s="295"/>
      <c r="OM37" s="295"/>
      <c r="ON37" s="295"/>
      <c r="OO37" s="295"/>
      <c r="OP37" s="295"/>
      <c r="OQ37" s="295"/>
      <c r="OR37" s="295"/>
      <c r="OS37" s="295"/>
      <c r="OT37" s="295"/>
      <c r="OU37" s="295"/>
      <c r="OV37" s="295"/>
      <c r="OW37" s="295"/>
      <c r="OX37" s="295"/>
      <c r="OY37" s="295"/>
      <c r="OZ37" s="295"/>
      <c r="PA37" s="295"/>
      <c r="PB37" s="295"/>
      <c r="PC37" s="295"/>
      <c r="PD37" s="295"/>
      <c r="PE37" s="295"/>
      <c r="PF37" s="295"/>
      <c r="PG37" s="295"/>
      <c r="PH37" s="295"/>
    </row>
    <row r="38" spans="1:424" s="18" customFormat="1" x14ac:dyDescent="0.2">
      <c r="A38" s="295"/>
      <c r="B38" s="8" t="s">
        <v>878</v>
      </c>
      <c r="C38" s="10" t="str">
        <f t="shared" si="25"/>
        <v>210</v>
      </c>
      <c r="D38" s="9" t="str">
        <f t="shared" si="25"/>
        <v>+07,21</v>
      </c>
      <c r="E38" s="10" t="s">
        <v>939</v>
      </c>
      <c r="F38" s="9" t="s">
        <v>940</v>
      </c>
      <c r="G38" s="302">
        <v>79.680000000000007</v>
      </c>
      <c r="H38" s="303">
        <f t="shared" si="26"/>
        <v>1.9</v>
      </c>
      <c r="I38" s="303">
        <v>1.4</v>
      </c>
      <c r="J38" s="13">
        <f t="shared" si="0"/>
        <v>1.65</v>
      </c>
      <c r="K38" s="14">
        <v>710</v>
      </c>
      <c r="L38" s="15">
        <f t="shared" si="14"/>
        <v>79.680000000000007</v>
      </c>
      <c r="M38" s="16">
        <v>1.3</v>
      </c>
      <c r="N38" s="14" t="s">
        <v>134</v>
      </c>
      <c r="O38" s="17">
        <v>0</v>
      </c>
      <c r="P38" s="13">
        <f t="shared" si="1"/>
        <v>0</v>
      </c>
      <c r="Q38" s="13">
        <f t="shared" si="2"/>
        <v>0</v>
      </c>
      <c r="R38" s="13">
        <f t="shared" si="3"/>
        <v>0</v>
      </c>
      <c r="S38" s="13">
        <f t="shared" si="4"/>
        <v>0</v>
      </c>
      <c r="T38" s="13">
        <f t="shared" si="5"/>
        <v>179.45928000000004</v>
      </c>
      <c r="U38" s="13">
        <f t="shared" si="15"/>
        <v>8.9729640000000028</v>
      </c>
      <c r="V38" s="13">
        <f t="shared" si="16"/>
        <v>170.48631600000002</v>
      </c>
      <c r="W38" s="13">
        <f t="shared" si="28"/>
        <v>0</v>
      </c>
      <c r="X38" s="13">
        <f t="shared" si="29"/>
        <v>0</v>
      </c>
      <c r="Y38" s="13">
        <f t="shared" si="30"/>
        <v>8.5243158000000019</v>
      </c>
      <c r="Z38" s="13">
        <f t="shared" si="31"/>
        <v>0.44864820000000016</v>
      </c>
      <c r="AA38" s="13">
        <f t="shared" si="8"/>
        <v>0</v>
      </c>
      <c r="AB38" s="13">
        <f t="shared" si="32"/>
        <v>0</v>
      </c>
      <c r="AC38" s="13">
        <f t="shared" si="35"/>
        <v>0</v>
      </c>
      <c r="AD38" s="13">
        <f t="shared" si="33"/>
        <v>131.27446332000002</v>
      </c>
      <c r="AE38" s="13">
        <f t="shared" si="34"/>
        <v>34.097263200000008</v>
      </c>
      <c r="AF38" s="13">
        <f t="shared" si="23"/>
        <v>0</v>
      </c>
      <c r="AG38" s="13">
        <f t="shared" si="24"/>
        <v>0</v>
      </c>
      <c r="AH38" s="13">
        <f t="shared" si="9"/>
        <v>5.1145894800000002</v>
      </c>
      <c r="AI38" s="13">
        <f t="shared" si="10"/>
        <v>103.58400000000002</v>
      </c>
      <c r="AJ38" s="13">
        <f t="shared" si="11"/>
        <v>179.45928000000004</v>
      </c>
      <c r="AK38" s="13">
        <f t="shared" si="12"/>
        <v>262.94400000000002</v>
      </c>
      <c r="AL38" s="306">
        <f t="shared" si="13"/>
        <v>0</v>
      </c>
      <c r="AM38" s="295"/>
      <c r="AN38" s="295"/>
      <c r="AO38" s="295"/>
      <c r="AP38" s="295"/>
      <c r="AQ38" s="295"/>
      <c r="AR38" s="295"/>
      <c r="AS38" s="295"/>
      <c r="AT38" s="295"/>
      <c r="AU38" s="295"/>
      <c r="AV38" s="295"/>
      <c r="AW38" s="295"/>
      <c r="AX38" s="295"/>
      <c r="AY38" s="295"/>
      <c r="AZ38" s="295"/>
      <c r="BA38" s="295"/>
      <c r="BB38" s="295"/>
      <c r="BC38" s="295"/>
      <c r="BD38" s="295"/>
      <c r="BE38" s="295"/>
      <c r="BF38" s="295"/>
      <c r="BG38" s="295"/>
      <c r="BH38" s="295"/>
      <c r="BI38" s="295"/>
      <c r="BJ38" s="295"/>
      <c r="BK38" s="295"/>
      <c r="BL38" s="295"/>
      <c r="BM38" s="295"/>
      <c r="BN38" s="295"/>
      <c r="BO38" s="295"/>
      <c r="BP38" s="295"/>
      <c r="BQ38" s="295"/>
      <c r="BR38" s="295"/>
      <c r="BS38" s="295"/>
      <c r="BT38" s="295"/>
      <c r="BU38" s="295"/>
      <c r="BV38" s="295"/>
      <c r="BW38" s="295"/>
      <c r="BX38" s="295"/>
      <c r="BY38" s="295"/>
      <c r="BZ38" s="295"/>
      <c r="CA38" s="295"/>
      <c r="CB38" s="295"/>
      <c r="CC38" s="295"/>
      <c r="CD38" s="295"/>
      <c r="CE38" s="295"/>
      <c r="CF38" s="295"/>
      <c r="CG38" s="295"/>
      <c r="CH38" s="295"/>
      <c r="CI38" s="295"/>
      <c r="CJ38" s="295"/>
      <c r="CK38" s="295"/>
      <c r="CL38" s="295"/>
      <c r="CM38" s="295"/>
      <c r="CN38" s="295"/>
      <c r="CO38" s="295"/>
      <c r="CP38" s="295"/>
      <c r="CQ38" s="295"/>
      <c r="CR38" s="295"/>
      <c r="CS38" s="295"/>
      <c r="CT38" s="295"/>
      <c r="CU38" s="295"/>
      <c r="CV38" s="295"/>
      <c r="CW38" s="295"/>
      <c r="CX38" s="295"/>
      <c r="CY38" s="295"/>
      <c r="CZ38" s="295"/>
      <c r="DA38" s="295"/>
      <c r="DB38" s="295"/>
      <c r="DC38" s="295"/>
      <c r="DD38" s="295"/>
      <c r="DE38" s="295"/>
      <c r="DF38" s="295"/>
      <c r="DG38" s="295"/>
      <c r="DH38" s="295"/>
      <c r="DI38" s="295"/>
      <c r="DJ38" s="295"/>
      <c r="DK38" s="295"/>
      <c r="DL38" s="295"/>
      <c r="DM38" s="295"/>
      <c r="DN38" s="295"/>
      <c r="DO38" s="295"/>
      <c r="DP38" s="295"/>
      <c r="DQ38" s="295"/>
      <c r="DR38" s="295"/>
      <c r="DS38" s="295"/>
      <c r="DT38" s="295"/>
      <c r="DU38" s="295"/>
      <c r="DV38" s="295"/>
      <c r="DW38" s="295"/>
      <c r="DX38" s="295"/>
      <c r="DY38" s="295"/>
      <c r="DZ38" s="295"/>
      <c r="EA38" s="295"/>
      <c r="EB38" s="295"/>
      <c r="EC38" s="295"/>
      <c r="ED38" s="295"/>
      <c r="EE38" s="295"/>
      <c r="EF38" s="295"/>
      <c r="EG38" s="295"/>
      <c r="EH38" s="295"/>
      <c r="EI38" s="295"/>
      <c r="EJ38" s="295"/>
      <c r="EK38" s="295"/>
      <c r="EL38" s="295"/>
      <c r="EM38" s="295"/>
      <c r="EN38" s="295"/>
      <c r="EO38" s="295"/>
      <c r="EP38" s="295"/>
      <c r="EQ38" s="295"/>
      <c r="ER38" s="295"/>
      <c r="ES38" s="295"/>
      <c r="ET38" s="295"/>
      <c r="EU38" s="295"/>
      <c r="EV38" s="295"/>
      <c r="EW38" s="295"/>
      <c r="EX38" s="295"/>
      <c r="EY38" s="295"/>
      <c r="EZ38" s="295"/>
      <c r="FA38" s="295"/>
      <c r="FB38" s="295"/>
      <c r="FC38" s="295"/>
      <c r="FD38" s="295"/>
      <c r="FE38" s="295"/>
      <c r="FF38" s="295"/>
      <c r="FG38" s="295"/>
      <c r="FH38" s="295"/>
      <c r="FI38" s="295"/>
      <c r="FJ38" s="295"/>
      <c r="FK38" s="295"/>
      <c r="FL38" s="295"/>
      <c r="FM38" s="295"/>
      <c r="FN38" s="295"/>
      <c r="FO38" s="295"/>
      <c r="FP38" s="295"/>
      <c r="FQ38" s="295"/>
      <c r="FR38" s="295"/>
      <c r="FS38" s="295"/>
      <c r="FT38" s="295"/>
      <c r="FU38" s="295"/>
      <c r="FV38" s="295"/>
      <c r="FW38" s="295"/>
      <c r="FX38" s="295"/>
      <c r="FY38" s="295"/>
      <c r="FZ38" s="295"/>
      <c r="GA38" s="295"/>
      <c r="GB38" s="295"/>
      <c r="GC38" s="295"/>
      <c r="GD38" s="295"/>
      <c r="GE38" s="295"/>
      <c r="GF38" s="295"/>
      <c r="GG38" s="295"/>
      <c r="GH38" s="295"/>
      <c r="GI38" s="295"/>
      <c r="GJ38" s="295"/>
      <c r="GK38" s="295"/>
      <c r="GL38" s="295"/>
      <c r="GM38" s="295"/>
      <c r="GN38" s="295"/>
      <c r="GO38" s="295"/>
      <c r="GP38" s="295"/>
      <c r="GQ38" s="295"/>
      <c r="GR38" s="295"/>
      <c r="GS38" s="295"/>
      <c r="GT38" s="295"/>
      <c r="GU38" s="295"/>
      <c r="GV38" s="295"/>
      <c r="GW38" s="295"/>
      <c r="GX38" s="295"/>
      <c r="GY38" s="295"/>
      <c r="GZ38" s="295"/>
      <c r="HA38" s="295"/>
      <c r="HB38" s="295"/>
      <c r="HC38" s="295"/>
      <c r="HD38" s="295"/>
      <c r="HE38" s="295"/>
      <c r="HF38" s="295"/>
      <c r="HG38" s="295"/>
      <c r="HH38" s="295"/>
      <c r="HI38" s="295"/>
      <c r="HJ38" s="295"/>
      <c r="HK38" s="295"/>
      <c r="HL38" s="295"/>
      <c r="HM38" s="295"/>
      <c r="HN38" s="295"/>
      <c r="HO38" s="295"/>
      <c r="HP38" s="295"/>
      <c r="HQ38" s="295"/>
      <c r="HR38" s="295"/>
      <c r="HS38" s="295"/>
      <c r="HT38" s="295"/>
      <c r="HU38" s="295"/>
      <c r="HV38" s="295"/>
      <c r="HW38" s="295"/>
      <c r="HX38" s="295"/>
      <c r="HY38" s="295"/>
      <c r="HZ38" s="295"/>
      <c r="IA38" s="295"/>
      <c r="IB38" s="295"/>
      <c r="IC38" s="295"/>
      <c r="ID38" s="295"/>
      <c r="IE38" s="295"/>
      <c r="IF38" s="295"/>
      <c r="IG38" s="295"/>
      <c r="IH38" s="295"/>
      <c r="II38" s="295"/>
      <c r="IJ38" s="295"/>
      <c r="IK38" s="295"/>
      <c r="IL38" s="295"/>
      <c r="IM38" s="295"/>
      <c r="IN38" s="295"/>
      <c r="IO38" s="295"/>
      <c r="IP38" s="295"/>
      <c r="IQ38" s="295"/>
      <c r="IR38" s="295"/>
      <c r="IS38" s="295"/>
      <c r="IT38" s="295"/>
      <c r="IU38" s="295"/>
      <c r="IV38" s="295"/>
      <c r="IW38" s="295"/>
      <c r="IX38" s="295"/>
      <c r="IY38" s="295"/>
      <c r="IZ38" s="295"/>
      <c r="JA38" s="295"/>
      <c r="JB38" s="295"/>
      <c r="JC38" s="295"/>
      <c r="JD38" s="295"/>
      <c r="JE38" s="295"/>
      <c r="JF38" s="295"/>
      <c r="JG38" s="295"/>
      <c r="JH38" s="295"/>
      <c r="JI38" s="295"/>
      <c r="JJ38" s="295"/>
      <c r="JK38" s="295"/>
      <c r="JL38" s="295"/>
      <c r="JM38" s="295"/>
      <c r="JN38" s="295"/>
      <c r="JO38" s="295"/>
      <c r="JP38" s="295"/>
      <c r="JQ38" s="295"/>
      <c r="JR38" s="295"/>
      <c r="JS38" s="295"/>
      <c r="JT38" s="295"/>
      <c r="JU38" s="295"/>
      <c r="JV38" s="295"/>
      <c r="JW38" s="295"/>
      <c r="JX38" s="295"/>
      <c r="JY38" s="295"/>
      <c r="JZ38" s="295"/>
      <c r="KA38" s="295"/>
      <c r="KB38" s="295"/>
      <c r="KC38" s="295"/>
      <c r="KD38" s="295"/>
      <c r="KE38" s="295"/>
      <c r="KF38" s="295"/>
      <c r="KG38" s="295"/>
      <c r="KH38" s="295"/>
      <c r="KI38" s="295"/>
      <c r="KJ38" s="295"/>
      <c r="KK38" s="295"/>
      <c r="KL38" s="295"/>
      <c r="KM38" s="295"/>
      <c r="KN38" s="295"/>
      <c r="KO38" s="295"/>
      <c r="KP38" s="295"/>
      <c r="KQ38" s="295"/>
      <c r="KR38" s="295"/>
      <c r="KS38" s="295"/>
      <c r="KT38" s="295"/>
      <c r="KU38" s="295"/>
      <c r="KV38" s="295"/>
      <c r="KW38" s="295"/>
      <c r="KX38" s="295"/>
      <c r="KY38" s="295"/>
      <c r="KZ38" s="295"/>
      <c r="LA38" s="295"/>
      <c r="LB38" s="295"/>
      <c r="LC38" s="295"/>
      <c r="LD38" s="295"/>
      <c r="LE38" s="295"/>
      <c r="LF38" s="295"/>
      <c r="LG38" s="295"/>
      <c r="LH38" s="295"/>
      <c r="LI38" s="295"/>
      <c r="LJ38" s="295"/>
      <c r="LK38" s="295"/>
      <c r="LL38" s="295"/>
      <c r="LM38" s="295"/>
      <c r="LN38" s="295"/>
      <c r="LO38" s="295"/>
      <c r="LP38" s="295"/>
      <c r="LQ38" s="295"/>
      <c r="LR38" s="295"/>
      <c r="LS38" s="295"/>
      <c r="LT38" s="295"/>
      <c r="LU38" s="295"/>
      <c r="LV38" s="295"/>
      <c r="LW38" s="295"/>
      <c r="LX38" s="295"/>
      <c r="LY38" s="295"/>
      <c r="LZ38" s="295"/>
      <c r="MA38" s="295"/>
      <c r="MB38" s="295"/>
      <c r="MC38" s="295"/>
      <c r="MD38" s="295"/>
      <c r="ME38" s="295"/>
      <c r="MF38" s="295"/>
      <c r="MG38" s="295"/>
      <c r="MH38" s="295"/>
      <c r="MI38" s="295"/>
      <c r="MJ38" s="295"/>
      <c r="MK38" s="295"/>
      <c r="ML38" s="295"/>
      <c r="MM38" s="295"/>
      <c r="MN38" s="295"/>
      <c r="MO38" s="295"/>
      <c r="MP38" s="295"/>
      <c r="MQ38" s="295"/>
      <c r="MR38" s="295"/>
      <c r="MS38" s="295"/>
      <c r="MT38" s="295"/>
      <c r="MU38" s="295"/>
      <c r="MV38" s="295"/>
      <c r="MW38" s="295"/>
      <c r="MX38" s="295"/>
      <c r="MY38" s="295"/>
      <c r="MZ38" s="295"/>
      <c r="NA38" s="295"/>
      <c r="NB38" s="295"/>
      <c r="NC38" s="295"/>
      <c r="ND38" s="295"/>
      <c r="NE38" s="295"/>
      <c r="NF38" s="295"/>
      <c r="NG38" s="295"/>
      <c r="NH38" s="295"/>
      <c r="NI38" s="295"/>
      <c r="NJ38" s="295"/>
      <c r="NK38" s="295"/>
      <c r="NL38" s="295"/>
      <c r="NM38" s="295"/>
      <c r="NN38" s="295"/>
      <c r="NO38" s="295"/>
      <c r="NP38" s="295"/>
      <c r="NQ38" s="295"/>
      <c r="NR38" s="295"/>
      <c r="NS38" s="295"/>
      <c r="NT38" s="295"/>
      <c r="NU38" s="295"/>
      <c r="NV38" s="295"/>
      <c r="NW38" s="295"/>
      <c r="NX38" s="295"/>
      <c r="NY38" s="295"/>
      <c r="NZ38" s="295"/>
      <c r="OA38" s="295"/>
      <c r="OB38" s="295"/>
      <c r="OC38" s="295"/>
      <c r="OD38" s="295"/>
      <c r="OE38" s="295"/>
      <c r="OF38" s="295"/>
      <c r="OG38" s="295"/>
      <c r="OH38" s="295"/>
      <c r="OI38" s="295"/>
      <c r="OJ38" s="295"/>
      <c r="OK38" s="295"/>
      <c r="OL38" s="295"/>
      <c r="OM38" s="295"/>
      <c r="ON38" s="295"/>
      <c r="OO38" s="295"/>
      <c r="OP38" s="295"/>
      <c r="OQ38" s="295"/>
      <c r="OR38" s="295"/>
      <c r="OS38" s="295"/>
      <c r="OT38" s="295"/>
      <c r="OU38" s="295"/>
      <c r="OV38" s="295"/>
      <c r="OW38" s="295"/>
      <c r="OX38" s="295"/>
      <c r="OY38" s="295"/>
      <c r="OZ38" s="295"/>
      <c r="PA38" s="295"/>
      <c r="PB38" s="295"/>
      <c r="PC38" s="295"/>
      <c r="PD38" s="295"/>
      <c r="PE38" s="295"/>
      <c r="PF38" s="295"/>
      <c r="PG38" s="295"/>
      <c r="PH38" s="295"/>
    </row>
    <row r="39" spans="1:424" x14ac:dyDescent="0.2">
      <c r="B39" s="322"/>
      <c r="C39" s="323"/>
      <c r="D39" s="323"/>
      <c r="E39" s="323"/>
      <c r="F39" s="323"/>
      <c r="G39" s="323"/>
      <c r="H39" s="323"/>
      <c r="I39" s="323"/>
      <c r="J39" s="323"/>
      <c r="K39" s="323"/>
      <c r="L39" s="323"/>
      <c r="M39" s="323"/>
      <c r="N39" s="323"/>
      <c r="O39" s="323"/>
      <c r="P39" s="323"/>
      <c r="Q39" s="323"/>
      <c r="R39" s="323"/>
      <c r="S39" s="323"/>
      <c r="T39" s="323"/>
      <c r="U39" s="323"/>
      <c r="V39" s="323"/>
      <c r="W39" s="323"/>
      <c r="X39" s="323"/>
      <c r="Y39" s="323"/>
      <c r="Z39" s="323"/>
      <c r="AA39" s="323"/>
      <c r="AB39" s="323"/>
      <c r="AC39" s="323"/>
      <c r="AD39" s="323"/>
      <c r="AE39" s="323"/>
      <c r="AF39" s="323"/>
      <c r="AG39" s="323"/>
      <c r="AH39" s="323"/>
      <c r="AI39" s="323"/>
      <c r="AJ39" s="323"/>
      <c r="AK39" s="323"/>
      <c r="AL39" s="324"/>
      <c r="AM39" s="5"/>
    </row>
    <row r="40" spans="1:424" s="296" customFormat="1" x14ac:dyDescent="0.2">
      <c r="B40" s="325" t="s">
        <v>9</v>
      </c>
      <c r="C40" s="326"/>
      <c r="D40" s="326"/>
      <c r="E40" s="326"/>
      <c r="F40" s="327"/>
      <c r="G40" s="294">
        <f>SUM(G5:G38)</f>
        <v>4286.87</v>
      </c>
      <c r="H40" s="21"/>
      <c r="I40" s="22"/>
      <c r="J40" s="23"/>
      <c r="K40" s="21"/>
      <c r="L40" s="294">
        <f>SUM(L5:L38)</f>
        <v>4286.87</v>
      </c>
      <c r="M40" s="22"/>
      <c r="N40" s="23"/>
      <c r="O40" s="294">
        <f t="shared" ref="O40:AJ40" si="36">SUM(O5:O38)</f>
        <v>16730.400000000001</v>
      </c>
      <c r="P40" s="294">
        <f t="shared" si="36"/>
        <v>0</v>
      </c>
      <c r="Q40" s="294">
        <f t="shared" si="36"/>
        <v>0</v>
      </c>
      <c r="R40" s="24">
        <f t="shared" si="36"/>
        <v>0</v>
      </c>
      <c r="S40" s="294">
        <f t="shared" si="36"/>
        <v>0</v>
      </c>
      <c r="T40" s="294">
        <f t="shared" si="36"/>
        <v>11777.559155250001</v>
      </c>
      <c r="U40" s="294">
        <f t="shared" si="36"/>
        <v>588.87795776250005</v>
      </c>
      <c r="V40" s="294">
        <f t="shared" si="36"/>
        <v>11188.6811974875</v>
      </c>
      <c r="W40" s="294">
        <f t="shared" si="36"/>
        <v>0.1079544375</v>
      </c>
      <c r="X40" s="294">
        <f t="shared" si="36"/>
        <v>0.1079544375</v>
      </c>
      <c r="Y40" s="294">
        <f t="shared" si="36"/>
        <v>417.17012056125003</v>
      </c>
      <c r="Z40" s="294">
        <f t="shared" si="36"/>
        <v>171.49192832625005</v>
      </c>
      <c r="AA40" s="294">
        <f t="shared" si="36"/>
        <v>0</v>
      </c>
      <c r="AB40" s="294">
        <f t="shared" si="36"/>
        <v>2.0101116262500001</v>
      </c>
      <c r="AC40" s="294">
        <f t="shared" si="36"/>
        <v>2.0511343124999999</v>
      </c>
      <c r="AD40" s="294">
        <f t="shared" si="36"/>
        <v>6812.7139807203739</v>
      </c>
      <c r="AE40" s="294">
        <f t="shared" si="36"/>
        <v>4036.32758027625</v>
      </c>
      <c r="AF40" s="294">
        <f t="shared" si="36"/>
        <v>0</v>
      </c>
      <c r="AG40" s="294">
        <f t="shared" si="36"/>
        <v>0</v>
      </c>
      <c r="AH40" s="294">
        <f t="shared" si="36"/>
        <v>335.57839055212497</v>
      </c>
      <c r="AI40" s="294">
        <f t="shared" si="36"/>
        <v>5777.2909999999993</v>
      </c>
      <c r="AJ40" s="294">
        <f t="shared" si="36"/>
        <v>11777.559155250001</v>
      </c>
      <c r="AK40" s="294">
        <f>SUM(AK5:AK38)/5</f>
        <v>2885.3174199999999</v>
      </c>
      <c r="AL40" s="294">
        <f>SUM(AL5:AL38)/5</f>
        <v>215.92104</v>
      </c>
      <c r="AM40" s="25"/>
    </row>
    <row r="41" spans="1:424" x14ac:dyDescent="0.2">
      <c r="O41" s="299"/>
      <c r="P41" s="324" t="s">
        <v>29</v>
      </c>
      <c r="Q41" s="309"/>
      <c r="R41" s="309"/>
      <c r="S41" s="322"/>
      <c r="T41" s="123"/>
      <c r="U41" s="296"/>
      <c r="V41" s="296"/>
      <c r="W41" s="328"/>
      <c r="X41" s="328"/>
      <c r="Y41" s="328"/>
      <c r="Z41" s="328"/>
      <c r="AA41" s="328"/>
      <c r="AB41" s="328"/>
      <c r="AC41" s="328"/>
      <c r="AD41" s="328"/>
      <c r="AE41" s="328"/>
      <c r="AF41" s="328"/>
      <c r="AG41" s="296"/>
      <c r="AH41" s="296"/>
      <c r="AK41" s="26"/>
      <c r="AL41" s="26"/>
    </row>
    <row r="42" spans="1:424" x14ac:dyDescent="0.2">
      <c r="B42" s="312" t="s">
        <v>941</v>
      </c>
      <c r="C42" s="313"/>
      <c r="D42" s="313"/>
      <c r="E42" s="313"/>
      <c r="F42" s="313"/>
      <c r="G42" s="27">
        <f>L40</f>
        <v>4286.87</v>
      </c>
      <c r="K42" s="2"/>
      <c r="P42" s="314">
        <f>(P40)*0.05</f>
        <v>0</v>
      </c>
      <c r="Q42" s="314"/>
      <c r="R42" s="314"/>
      <c r="S42" s="315"/>
      <c r="T42" s="296"/>
      <c r="U42" s="296"/>
      <c r="V42" s="296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K42" s="26"/>
      <c r="AL42" s="26"/>
    </row>
    <row r="43" spans="1:424" x14ac:dyDescent="0.2">
      <c r="B43" s="316" t="s">
        <v>942</v>
      </c>
      <c r="C43" s="317"/>
      <c r="D43" s="317"/>
      <c r="E43" s="317"/>
      <c r="F43" s="317"/>
      <c r="G43" s="28" t="s">
        <v>943</v>
      </c>
      <c r="I43" s="29"/>
      <c r="W43" s="309" t="s">
        <v>30</v>
      </c>
      <c r="X43" s="309"/>
      <c r="Y43" s="309"/>
      <c r="Z43" s="309"/>
      <c r="AA43" s="309"/>
      <c r="AB43" s="309"/>
      <c r="AC43" s="309"/>
      <c r="AG43" s="296"/>
      <c r="AH43" s="296"/>
    </row>
    <row r="44" spans="1:424" x14ac:dyDescent="0.2">
      <c r="B44" s="318" t="s">
        <v>944</v>
      </c>
      <c r="C44" s="319"/>
      <c r="D44" s="319"/>
      <c r="E44" s="319"/>
      <c r="F44" s="319"/>
      <c r="G44" s="31" t="s">
        <v>945</v>
      </c>
      <c r="W44" s="310">
        <f>(X40+Z40+AC40+AE40)*1.3</f>
        <v>5472.9721765582508</v>
      </c>
      <c r="X44" s="310"/>
      <c r="Y44" s="310"/>
      <c r="Z44" s="310"/>
      <c r="AA44" s="310"/>
      <c r="AB44" s="310"/>
      <c r="AC44" s="310"/>
      <c r="AD44" s="2"/>
      <c r="AE44" s="2"/>
      <c r="AF44" s="2"/>
      <c r="AG44" s="30"/>
      <c r="AH44" s="30"/>
      <c r="AK44" s="2"/>
      <c r="AL44" s="2"/>
    </row>
    <row r="45" spans="1:424" x14ac:dyDescent="0.2">
      <c r="B45" s="311"/>
      <c r="C45" s="311"/>
      <c r="D45" s="311"/>
      <c r="E45" s="311"/>
      <c r="F45" s="311"/>
      <c r="G45" s="32"/>
      <c r="W45" s="309" t="s">
        <v>31</v>
      </c>
      <c r="X45" s="309"/>
      <c r="Y45" s="309"/>
      <c r="Z45" s="309"/>
      <c r="AA45" s="309"/>
      <c r="AB45" s="309"/>
      <c r="AC45" s="309"/>
      <c r="AG45" s="296"/>
      <c r="AH45" s="296"/>
    </row>
    <row r="46" spans="1:424" x14ac:dyDescent="0.2">
      <c r="B46" s="311"/>
      <c r="C46" s="311"/>
      <c r="D46" s="311"/>
      <c r="E46" s="311"/>
      <c r="F46" s="311"/>
      <c r="G46" s="32"/>
      <c r="W46" s="310">
        <f>(AH40)*1.5</f>
        <v>503.36758582818743</v>
      </c>
      <c r="X46" s="310"/>
      <c r="Y46" s="310"/>
      <c r="Z46" s="310"/>
      <c r="AA46" s="310"/>
      <c r="AB46" s="310"/>
      <c r="AC46" s="310"/>
      <c r="AD46" s="2"/>
      <c r="AE46" s="2"/>
      <c r="AF46" s="2"/>
      <c r="AG46" s="30"/>
      <c r="AH46" s="30"/>
      <c r="AK46" s="2"/>
      <c r="AL46" s="2"/>
    </row>
    <row r="47" spans="1:424" x14ac:dyDescent="0.2">
      <c r="W47" s="309" t="s">
        <v>32</v>
      </c>
      <c r="X47" s="309"/>
      <c r="Y47" s="309"/>
      <c r="Z47" s="309"/>
      <c r="AA47" s="309"/>
      <c r="AB47" s="309"/>
      <c r="AC47" s="309"/>
      <c r="AG47" s="296"/>
      <c r="AH47" s="296"/>
    </row>
    <row r="48" spans="1:424" x14ac:dyDescent="0.2">
      <c r="H48" s="33"/>
      <c r="W48" s="310">
        <f>W44+W46</f>
        <v>5976.3397623864385</v>
      </c>
      <c r="X48" s="310"/>
      <c r="Y48" s="310"/>
      <c r="Z48" s="310"/>
      <c r="AA48" s="310"/>
      <c r="AB48" s="310"/>
      <c r="AC48" s="310"/>
      <c r="AD48" s="2"/>
      <c r="AE48" s="2"/>
      <c r="AF48" s="2"/>
      <c r="AG48" s="30"/>
      <c r="AH48" s="30"/>
    </row>
    <row r="49" spans="8:35" x14ac:dyDescent="0.2">
      <c r="H49" s="33"/>
      <c r="W49" s="309" t="s">
        <v>165</v>
      </c>
      <c r="X49" s="309"/>
      <c r="Y49" s="309"/>
      <c r="Z49" s="309"/>
      <c r="AA49" s="309"/>
      <c r="AB49" s="309"/>
      <c r="AC49" s="309"/>
      <c r="AG49" s="296"/>
      <c r="AH49" s="296"/>
      <c r="AI49" s="29"/>
    </row>
    <row r="50" spans="8:35" x14ac:dyDescent="0.2">
      <c r="W50" s="310">
        <f>W44*3</f>
        <v>16418.916529674752</v>
      </c>
      <c r="X50" s="310"/>
      <c r="Y50" s="310"/>
      <c r="Z50" s="310"/>
      <c r="AA50" s="310"/>
      <c r="AB50" s="310"/>
      <c r="AC50" s="310"/>
      <c r="AD50" s="2"/>
      <c r="AE50" s="2"/>
      <c r="AF50" s="2"/>
      <c r="AG50" s="30"/>
      <c r="AH50" s="30"/>
      <c r="AI50" s="2"/>
    </row>
    <row r="51" spans="8:35" x14ac:dyDescent="0.2">
      <c r="W51" s="309" t="s">
        <v>170</v>
      </c>
      <c r="X51" s="309"/>
      <c r="Y51" s="309"/>
      <c r="Z51" s="309"/>
      <c r="AA51" s="309"/>
      <c r="AB51" s="309"/>
      <c r="AC51" s="309"/>
      <c r="AD51" s="2"/>
      <c r="AE51" s="2"/>
      <c r="AF51" s="2"/>
      <c r="AG51" s="30"/>
      <c r="AH51" s="30"/>
      <c r="AI51" s="2"/>
    </row>
    <row r="52" spans="8:35" x14ac:dyDescent="0.2">
      <c r="W52" s="310">
        <f>W46*3</f>
        <v>1510.1027574845623</v>
      </c>
      <c r="X52" s="310"/>
      <c r="Y52" s="310"/>
      <c r="Z52" s="310"/>
      <c r="AA52" s="310"/>
      <c r="AB52" s="310"/>
      <c r="AC52" s="310"/>
      <c r="AD52" s="2"/>
      <c r="AE52" s="2"/>
      <c r="AF52" s="2"/>
      <c r="AG52" s="30"/>
      <c r="AH52" s="30"/>
      <c r="AI52" s="2"/>
    </row>
    <row r="53" spans="8:35" x14ac:dyDescent="0.2">
      <c r="W53" s="309" t="s">
        <v>33</v>
      </c>
      <c r="X53" s="309"/>
      <c r="Y53" s="309"/>
      <c r="Z53" s="309"/>
      <c r="AA53" s="309"/>
      <c r="AB53" s="309"/>
      <c r="AC53" s="309"/>
      <c r="AG53" s="296"/>
      <c r="AH53" s="296"/>
    </row>
    <row r="54" spans="8:35" x14ac:dyDescent="0.2">
      <c r="W54" s="310">
        <f>X40+AC40+AH40+Z40+AE40</f>
        <v>4545.5569879046252</v>
      </c>
      <c r="X54" s="310"/>
      <c r="Y54" s="310"/>
      <c r="Z54" s="310"/>
      <c r="AA54" s="310"/>
      <c r="AB54" s="310"/>
      <c r="AC54" s="310"/>
      <c r="AD54" s="2"/>
      <c r="AE54" s="2"/>
      <c r="AF54" s="2"/>
      <c r="AG54" s="30"/>
      <c r="AH54" s="30"/>
    </row>
  </sheetData>
  <autoFilter ref="A4:AK38" xr:uid="{00000000-0009-0000-0000-000011000000}"/>
  <mergeCells count="46">
    <mergeCell ref="B2:I2"/>
    <mergeCell ref="J2:AL2"/>
    <mergeCell ref="B3:B4"/>
    <mergeCell ref="C3:F3"/>
    <mergeCell ref="G3:G4"/>
    <mergeCell ref="H3:I3"/>
    <mergeCell ref="J3:J4"/>
    <mergeCell ref="K3:K4"/>
    <mergeCell ref="L3:L4"/>
    <mergeCell ref="M3:M4"/>
    <mergeCell ref="W3:AA3"/>
    <mergeCell ref="AB3:AH3"/>
    <mergeCell ref="AI3:AI4"/>
    <mergeCell ref="AJ3:AJ4"/>
    <mergeCell ref="AK3:AK4"/>
    <mergeCell ref="C4:D4"/>
    <mergeCell ref="E4:F4"/>
    <mergeCell ref="B39:AL39"/>
    <mergeCell ref="B40:F40"/>
    <mergeCell ref="P41:S41"/>
    <mergeCell ref="W41:AF41"/>
    <mergeCell ref="AL3:AL4"/>
    <mergeCell ref="N3:N4"/>
    <mergeCell ref="O3:O4"/>
    <mergeCell ref="P3:S3"/>
    <mergeCell ref="T3:T4"/>
    <mergeCell ref="U3:U4"/>
    <mergeCell ref="V3:V4"/>
    <mergeCell ref="B42:F42"/>
    <mergeCell ref="P42:S42"/>
    <mergeCell ref="B43:F43"/>
    <mergeCell ref="W43:AC43"/>
    <mergeCell ref="B44:F44"/>
    <mergeCell ref="W44:AC44"/>
    <mergeCell ref="W54:AC54"/>
    <mergeCell ref="B45:F45"/>
    <mergeCell ref="W45:AC45"/>
    <mergeCell ref="B46:F46"/>
    <mergeCell ref="W46:AC46"/>
    <mergeCell ref="W47:AC47"/>
    <mergeCell ref="W48:AC48"/>
    <mergeCell ref="W49:AC49"/>
    <mergeCell ref="W50:AC50"/>
    <mergeCell ref="W51:AC51"/>
    <mergeCell ref="W52:AC52"/>
    <mergeCell ref="W53:AC53"/>
  </mergeCells>
  <conditionalFormatting sqref="AK40:AL40 W43:W50 W41:X42 Q41:V41 AK47:AL65545 P3:V4 AK1:AL1 AK3:AL4 Q43:V65545 P41:P65545 W52:W54 W55:AA65545 P1:AA1 Y42:AH42 P5:AL38">
    <cfRule type="cellIs" dxfId="31" priority="5" stopIfTrue="1" operator="equal">
      <formula>0</formula>
    </cfRule>
  </conditionalFormatting>
  <conditionalFormatting sqref="K1 K40:K1048576 K3:K38">
    <cfRule type="cellIs" dxfId="30" priority="4" stopIfTrue="1" operator="between">
      <formula>344</formula>
      <formula>1000</formula>
    </cfRule>
  </conditionalFormatting>
  <conditionalFormatting sqref="J1:J38 J40:J1048576">
    <cfRule type="cellIs" dxfId="29" priority="3" stopIfTrue="1" operator="between">
      <formula>3.99</formula>
      <formula>20</formula>
    </cfRule>
  </conditionalFormatting>
  <conditionalFormatting sqref="N1:O1 O3 N3:N4 O41:O1048576 N40:N1048576 N5:O38">
    <cfRule type="cellIs" dxfId="28" priority="2" stopIfTrue="1" operator="equal">
      <formula>"PC"</formula>
    </cfRule>
  </conditionalFormatting>
  <conditionalFormatting sqref="W51">
    <cfRule type="cellIs" dxfId="27" priority="1" stopIfTrue="1" operator="equal">
      <formula>0</formula>
    </cfRule>
  </conditionalFormatting>
  <printOptions horizontalCentered="1"/>
  <pageMargins left="0.19685039370078741" right="0.19685039370078741" top="0.98425196850393704" bottom="0.98425196850393704" header="0.51181102362204722" footer="0.51181102362204722"/>
  <pageSetup paperSize="9" scale="55" orientation="landscape" horizontalDpi="300" verticalDpi="300" r:id="rId1"/>
  <headerFooter alignWithMargins="0">
    <oddHeader>&amp;L&amp;G&amp;R&amp;G</oddHeader>
  </headerFooter>
  <legacyDrawingHF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20B212-FD38-4CF2-937A-E2765786B8C6}">
  <sheetPr codeName="Planilha12"/>
  <dimension ref="A1:H186"/>
  <sheetViews>
    <sheetView view="pageBreakPreview" zoomScaleSheetLayoutView="100" workbookViewId="0"/>
  </sheetViews>
  <sheetFormatPr defaultRowHeight="15" x14ac:dyDescent="0.25"/>
  <cols>
    <col min="1" max="1" width="15.28515625" style="73" customWidth="1"/>
    <col min="2" max="2" width="30.7109375" style="38" customWidth="1"/>
    <col min="3" max="3" width="43.140625" style="38" customWidth="1"/>
    <col min="4" max="4" width="10.7109375" style="38" customWidth="1"/>
    <col min="5" max="5" width="7.7109375" style="38" customWidth="1"/>
    <col min="6" max="6" width="3.7109375" style="37" bestFit="1" customWidth="1"/>
    <col min="7" max="16384" width="9.140625" style="38"/>
  </cols>
  <sheetData>
    <row r="1" spans="1:7" x14ac:dyDescent="0.25">
      <c r="A1" s="129" t="s">
        <v>35</v>
      </c>
      <c r="B1" s="35"/>
      <c r="C1" s="36" t="s">
        <v>36</v>
      </c>
      <c r="D1" s="441" t="s">
        <v>37</v>
      </c>
      <c r="E1" s="442"/>
    </row>
    <row r="2" spans="1:7" s="39" customFormat="1" ht="24.75" customHeight="1" x14ac:dyDescent="0.2">
      <c r="A2" s="443" t="s">
        <v>57</v>
      </c>
      <c r="B2" s="444"/>
      <c r="C2" s="130" t="s">
        <v>206</v>
      </c>
      <c r="D2" s="445">
        <v>44424</v>
      </c>
      <c r="E2" s="446"/>
      <c r="F2" s="37"/>
    </row>
    <row r="3" spans="1:7" s="41" customFormat="1" x14ac:dyDescent="0.2">
      <c r="A3" s="410"/>
      <c r="B3" s="411"/>
      <c r="C3" s="411"/>
      <c r="D3" s="447"/>
      <c r="E3" s="448"/>
      <c r="F3" s="40"/>
    </row>
    <row r="4" spans="1:7" s="45" customFormat="1" ht="18" customHeight="1" x14ac:dyDescent="0.2">
      <c r="A4" s="449" t="s">
        <v>38</v>
      </c>
      <c r="B4" s="450"/>
      <c r="C4" s="450"/>
      <c r="D4" s="42" t="s">
        <v>39</v>
      </c>
      <c r="E4" s="43" t="s">
        <v>34</v>
      </c>
      <c r="F4" s="44"/>
    </row>
    <row r="5" spans="1:7" s="47" customFormat="1" ht="12.75" x14ac:dyDescent="0.2">
      <c r="A5" s="451"/>
      <c r="B5" s="452"/>
      <c r="C5" s="452"/>
      <c r="D5" s="74"/>
      <c r="E5" s="46"/>
      <c r="F5" s="40"/>
    </row>
    <row r="6" spans="1:7" s="51" customFormat="1" ht="16.5" customHeight="1" x14ac:dyDescent="0.2">
      <c r="A6" s="416" t="s">
        <v>40</v>
      </c>
      <c r="B6" s="417"/>
      <c r="C6" s="417"/>
      <c r="D6" s="75">
        <f>SUM(D7:D7)</f>
        <v>448.65</v>
      </c>
      <c r="E6" s="48" t="s">
        <v>41</v>
      </c>
      <c r="F6" s="49" t="s">
        <v>42</v>
      </c>
      <c r="G6" s="50" t="s">
        <v>43</v>
      </c>
    </row>
    <row r="7" spans="1:7" s="41" customFormat="1" ht="15.75" customHeight="1" x14ac:dyDescent="0.2">
      <c r="A7" s="52"/>
      <c r="B7" s="420" t="s">
        <v>207</v>
      </c>
      <c r="C7" s="421"/>
      <c r="D7" s="53">
        <f>145.32+287.82+15.51</f>
        <v>448.65</v>
      </c>
      <c r="E7" s="46"/>
      <c r="F7" s="40"/>
      <c r="G7" s="54"/>
    </row>
    <row r="8" spans="1:7" s="41" customFormat="1" ht="15.75" customHeight="1" x14ac:dyDescent="0.2">
      <c r="A8" s="104" t="s">
        <v>234</v>
      </c>
      <c r="B8" s="420">
        <v>15.51</v>
      </c>
      <c r="C8" s="421"/>
      <c r="D8" s="119">
        <f>15.51</f>
        <v>15.51</v>
      </c>
      <c r="E8" s="46"/>
      <c r="F8" s="40"/>
      <c r="G8" s="54"/>
    </row>
    <row r="9" spans="1:7" s="41" customFormat="1" ht="15.75" customHeight="1" x14ac:dyDescent="0.2">
      <c r="A9" s="410"/>
      <c r="B9" s="411"/>
      <c r="C9" s="411"/>
      <c r="D9" s="411"/>
      <c r="E9" s="412"/>
      <c r="F9" s="40"/>
    </row>
    <row r="10" spans="1:7" s="51" customFormat="1" ht="16.5" customHeight="1" x14ac:dyDescent="0.2">
      <c r="A10" s="439" t="s">
        <v>44</v>
      </c>
      <c r="B10" s="440"/>
      <c r="C10" s="440"/>
      <c r="D10" s="76">
        <f>SUM(D11:D15)*1.05</f>
        <v>918.6380700000002</v>
      </c>
      <c r="E10" s="48" t="s">
        <v>45</v>
      </c>
      <c r="F10" s="49" t="s">
        <v>42</v>
      </c>
      <c r="G10" s="50"/>
    </row>
    <row r="11" spans="1:7" s="41" customFormat="1" ht="15.75" customHeight="1" x14ac:dyDescent="0.2">
      <c r="A11" s="106"/>
      <c r="B11" s="453" t="s">
        <v>316</v>
      </c>
      <c r="C11" s="454"/>
      <c r="D11" s="55">
        <f>(3.27*35.85) + (136.58*2.32) + (2.75*16.9) + (41.32*1.9) + (255.93*0.77) + (0.38*49.8)</f>
        <v>775.06820000000005</v>
      </c>
      <c r="E11" s="46"/>
      <c r="F11" s="40"/>
      <c r="G11" s="54"/>
    </row>
    <row r="12" spans="1:7" s="41" customFormat="1" ht="22.5" customHeight="1" x14ac:dyDescent="0.2">
      <c r="A12" s="106" t="s">
        <v>208</v>
      </c>
      <c r="B12" s="454" t="s">
        <v>286</v>
      </c>
      <c r="C12" s="454"/>
      <c r="D12" s="55">
        <f>(4.74*7.25) + (6.27*2.62)</f>
        <v>50.792400000000001</v>
      </c>
      <c r="E12" s="56"/>
      <c r="F12" s="40"/>
      <c r="G12" s="54"/>
    </row>
    <row r="13" spans="1:7" s="41" customFormat="1" ht="15.75" customHeight="1" x14ac:dyDescent="0.2">
      <c r="A13" s="137" t="s">
        <v>220</v>
      </c>
      <c r="B13" s="453" t="s">
        <v>287</v>
      </c>
      <c r="C13" s="454"/>
      <c r="D13" s="105">
        <f>(2.85*4.71) + (1.76*1.9) + (0.78*2.51) + (4.74*1.57) + (0.5*1.56*3) + (2.21*2.51*3)</f>
        <v>45.148399999999995</v>
      </c>
      <c r="E13" s="46"/>
      <c r="F13" s="40"/>
      <c r="G13" s="54"/>
    </row>
    <row r="14" spans="1:7" s="41" customFormat="1" ht="15.75" customHeight="1" x14ac:dyDescent="0.2">
      <c r="A14" s="106" t="s">
        <v>194</v>
      </c>
      <c r="B14" s="454" t="s">
        <v>210</v>
      </c>
      <c r="C14" s="454"/>
      <c r="D14" s="55">
        <f>(0.45*0.41) + (0.16*1.89)</f>
        <v>0.4869</v>
      </c>
      <c r="E14" s="56"/>
      <c r="F14" s="40"/>
    </row>
    <row r="15" spans="1:7" s="41" customFormat="1" ht="15.75" customHeight="1" x14ac:dyDescent="0.2">
      <c r="A15" s="104" t="s">
        <v>234</v>
      </c>
      <c r="B15" s="453" t="s">
        <v>289</v>
      </c>
      <c r="C15" s="458"/>
      <c r="D15" s="55">
        <f>(22.65*0.15)</f>
        <v>3.3974999999999995</v>
      </c>
      <c r="E15" s="56"/>
      <c r="F15" s="40"/>
    </row>
    <row r="16" spans="1:7" s="51" customFormat="1" ht="16.5" customHeight="1" x14ac:dyDescent="0.2">
      <c r="A16" s="410"/>
      <c r="B16" s="411"/>
      <c r="C16" s="411"/>
      <c r="D16" s="411"/>
      <c r="E16" s="412"/>
      <c r="F16" s="49"/>
      <c r="G16" s="57"/>
    </row>
    <row r="17" spans="1:8" s="41" customFormat="1" ht="15" customHeight="1" x14ac:dyDescent="0.2">
      <c r="A17" s="439" t="s">
        <v>46</v>
      </c>
      <c r="B17" s="440"/>
      <c r="C17" s="440"/>
      <c r="D17" s="76">
        <f>SUM(D18:D22)</f>
        <v>257.33070000000004</v>
      </c>
      <c r="E17" s="48" t="s">
        <v>45</v>
      </c>
      <c r="F17" s="40" t="s">
        <v>42</v>
      </c>
      <c r="G17" s="54"/>
    </row>
    <row r="18" spans="1:8" s="41" customFormat="1" ht="15.75" customHeight="1" x14ac:dyDescent="0.2">
      <c r="A18" s="106"/>
      <c r="B18" s="453" t="s">
        <v>221</v>
      </c>
      <c r="C18" s="454"/>
      <c r="D18" s="55">
        <f>(3.27*35.85)  + (2.75*16.9) + (0.58*35.14)</f>
        <v>184.0857</v>
      </c>
      <c r="E18" s="46"/>
      <c r="F18" s="40"/>
    </row>
    <row r="19" spans="1:8" s="41" customFormat="1" ht="21.75" customHeight="1" x14ac:dyDescent="0.2">
      <c r="A19" s="106" t="s">
        <v>208</v>
      </c>
      <c r="B19" s="453" t="s">
        <v>216</v>
      </c>
      <c r="C19" s="458"/>
      <c r="D19" s="139">
        <f>(4.74*7.25)</f>
        <v>34.365000000000002</v>
      </c>
      <c r="E19" s="46"/>
      <c r="F19" s="40"/>
    </row>
    <row r="20" spans="1:8" s="41" customFormat="1" ht="15.75" customHeight="1" x14ac:dyDescent="0.2">
      <c r="A20" s="137" t="s">
        <v>220</v>
      </c>
      <c r="B20" s="453" t="s">
        <v>288</v>
      </c>
      <c r="C20" s="458"/>
      <c r="D20" s="139">
        <f>(2.85*4.71) + (2.21*2.51*3) + (4.74*1.57)</f>
        <v>37.506599999999999</v>
      </c>
      <c r="E20" s="46"/>
      <c r="F20" s="40"/>
    </row>
    <row r="21" spans="1:8" s="41" customFormat="1" ht="15.75" customHeight="1" x14ac:dyDescent="0.2">
      <c r="A21" s="106" t="s">
        <v>194</v>
      </c>
      <c r="B21" s="454" t="s">
        <v>217</v>
      </c>
      <c r="C21" s="454"/>
      <c r="D21" s="105">
        <f>(0.16*1.89)</f>
        <v>0.3024</v>
      </c>
      <c r="E21" s="46"/>
      <c r="F21" s="40"/>
    </row>
    <row r="22" spans="1:8" s="41" customFormat="1" ht="15.75" customHeight="1" x14ac:dyDescent="0.2">
      <c r="A22" s="104" t="s">
        <v>234</v>
      </c>
      <c r="B22" s="453" t="s">
        <v>290</v>
      </c>
      <c r="C22" s="458"/>
      <c r="D22" s="55">
        <f>(22.65-15.51)*0.15</f>
        <v>1.0709999999999997</v>
      </c>
      <c r="E22" s="56"/>
      <c r="F22" s="40"/>
    </row>
    <row r="23" spans="1:8" s="51" customFormat="1" ht="16.5" customHeight="1" x14ac:dyDescent="0.2">
      <c r="A23" s="410"/>
      <c r="B23" s="411"/>
      <c r="C23" s="411"/>
      <c r="D23" s="411"/>
      <c r="E23" s="412"/>
      <c r="F23" s="49"/>
    </row>
    <row r="24" spans="1:8" s="41" customFormat="1" x14ac:dyDescent="0.2">
      <c r="A24" s="439" t="s">
        <v>47</v>
      </c>
      <c r="B24" s="440"/>
      <c r="C24" s="440"/>
      <c r="D24" s="75">
        <f>SUM(D25:D26)</f>
        <v>448.65</v>
      </c>
      <c r="E24" s="48" t="s">
        <v>41</v>
      </c>
      <c r="F24" s="40" t="s">
        <v>42</v>
      </c>
      <c r="G24" s="54"/>
    </row>
    <row r="25" spans="1:8" s="41" customFormat="1" ht="15.75" customHeight="1" x14ac:dyDescent="0.2">
      <c r="A25" s="52"/>
      <c r="B25" s="420" t="s">
        <v>207</v>
      </c>
      <c r="C25" s="421"/>
      <c r="D25" s="53">
        <f>145.32+287.82</f>
        <v>433.14</v>
      </c>
      <c r="E25" s="46"/>
      <c r="F25" s="40"/>
    </row>
    <row r="26" spans="1:8" s="41" customFormat="1" ht="15.75" customHeight="1" x14ac:dyDescent="0.2">
      <c r="A26" s="104" t="s">
        <v>234</v>
      </c>
      <c r="B26" s="420">
        <v>15.51</v>
      </c>
      <c r="C26" s="421"/>
      <c r="D26" s="53">
        <f>15.51</f>
        <v>15.51</v>
      </c>
      <c r="E26" s="46"/>
      <c r="F26" s="40"/>
    </row>
    <row r="27" spans="1:8" s="51" customFormat="1" ht="16.5" customHeight="1" x14ac:dyDescent="0.2">
      <c r="A27" s="410"/>
      <c r="B27" s="411"/>
      <c r="C27" s="411"/>
      <c r="D27" s="411"/>
      <c r="E27" s="412"/>
      <c r="F27" s="49"/>
    </row>
    <row r="28" spans="1:8" s="41" customFormat="1" ht="15" customHeight="1" x14ac:dyDescent="0.2">
      <c r="A28" s="416" t="s">
        <v>48</v>
      </c>
      <c r="B28" s="417"/>
      <c r="C28" s="417"/>
      <c r="D28" s="75">
        <f>SUM(D29:D29)</f>
        <v>859.70299999999997</v>
      </c>
      <c r="E28" s="48" t="s">
        <v>45</v>
      </c>
      <c r="F28" s="40" t="s">
        <v>42</v>
      </c>
    </row>
    <row r="29" spans="1:8" s="41" customFormat="1" ht="15.75" customHeight="1" x14ac:dyDescent="0.2">
      <c r="A29" s="106"/>
      <c r="B29" s="413" t="s">
        <v>317</v>
      </c>
      <c r="C29" s="415"/>
      <c r="D29" s="58">
        <f>(918.64-257.33)*1.3</f>
        <v>859.70299999999997</v>
      </c>
      <c r="E29" s="59"/>
      <c r="F29" s="40"/>
    </row>
    <row r="30" spans="1:8" s="51" customFormat="1" ht="16.5" customHeight="1" x14ac:dyDescent="0.2">
      <c r="A30" s="410"/>
      <c r="B30" s="411"/>
      <c r="C30" s="411"/>
      <c r="D30" s="411"/>
      <c r="E30" s="412"/>
      <c r="F30" s="49"/>
      <c r="G30" s="111"/>
      <c r="H30" s="110"/>
    </row>
    <row r="31" spans="1:8" s="41" customFormat="1" ht="15" customHeight="1" x14ac:dyDescent="0.2">
      <c r="A31" s="439" t="s">
        <v>49</v>
      </c>
      <c r="B31" s="440"/>
      <c r="C31" s="440"/>
      <c r="D31" s="76">
        <f>SUM(D32:D44)</f>
        <v>1767.9374999999998</v>
      </c>
      <c r="E31" s="48" t="s">
        <v>41</v>
      </c>
      <c r="F31" s="40" t="s">
        <v>42</v>
      </c>
      <c r="G31" s="109"/>
      <c r="H31" s="108"/>
    </row>
    <row r="32" spans="1:8" s="41" customFormat="1" ht="15.75" customHeight="1" x14ac:dyDescent="0.2">
      <c r="A32" s="52" t="s">
        <v>87</v>
      </c>
      <c r="B32" s="420" t="s">
        <v>291</v>
      </c>
      <c r="C32" s="421"/>
      <c r="D32" s="53">
        <f>(20*14) + (16*7.5) + (0.55*8*7.5) + (0.7*2*7.75) + (0.2*54.5)</f>
        <v>454.75</v>
      </c>
      <c r="E32" s="46"/>
      <c r="F32" s="40"/>
      <c r="G32" s="109"/>
      <c r="H32" s="108"/>
    </row>
    <row r="33" spans="1:8" s="41" customFormat="1" ht="24.75" customHeight="1" x14ac:dyDescent="0.2">
      <c r="A33" s="52" t="s">
        <v>218</v>
      </c>
      <c r="B33" s="420" t="s">
        <v>298</v>
      </c>
      <c r="C33" s="431"/>
      <c r="D33" s="53">
        <f>(48.5*4.08) + (18.5*5.98) + (49.8*4.68) + ( 5.67*14.5) + (2.7*2*6.38) + (1.7*14) + (1.9*14) + (2.02*34.35) + (2.57*35.85)</f>
        <v>870.16250000000002</v>
      </c>
      <c r="E33" s="46"/>
      <c r="F33" s="40"/>
      <c r="G33" s="109"/>
      <c r="H33" s="108"/>
    </row>
    <row r="34" spans="1:8" s="41" customFormat="1" ht="15.75" customHeight="1" x14ac:dyDescent="0.2">
      <c r="A34" s="52" t="s">
        <v>226</v>
      </c>
      <c r="B34" s="420" t="s">
        <v>227</v>
      </c>
      <c r="C34" s="431"/>
      <c r="D34" s="53">
        <f>(0.84) + (0.17*1.25*11) + (3.83*1.25)</f>
        <v>7.9649999999999999</v>
      </c>
      <c r="E34" s="46"/>
      <c r="F34" s="40"/>
      <c r="G34" s="109"/>
      <c r="H34" s="108"/>
    </row>
    <row r="35" spans="1:8" s="41" customFormat="1" ht="22.5" customHeight="1" x14ac:dyDescent="0.2">
      <c r="A35" s="106" t="s">
        <v>219</v>
      </c>
      <c r="B35" s="420" t="s">
        <v>294</v>
      </c>
      <c r="C35" s="431"/>
      <c r="D35" s="53">
        <f>(11*0.2) + (28.1*0.2)</f>
        <v>7.8200000000000012</v>
      </c>
      <c r="E35" s="46"/>
      <c r="F35" s="40"/>
      <c r="G35" s="109"/>
      <c r="H35" s="108"/>
    </row>
    <row r="36" spans="1:8" s="41" customFormat="1" ht="22.5" customHeight="1" x14ac:dyDescent="0.2">
      <c r="A36" s="106" t="s">
        <v>292</v>
      </c>
      <c r="B36" s="420" t="s">
        <v>293</v>
      </c>
      <c r="C36" s="431"/>
      <c r="D36" s="53">
        <f>(4.49*0.14*3)</f>
        <v>1.8858000000000001</v>
      </c>
      <c r="E36" s="46"/>
      <c r="F36" s="40"/>
      <c r="G36" s="109"/>
      <c r="H36" s="108"/>
    </row>
    <row r="37" spans="1:8" s="41" customFormat="1" ht="22.5" customHeight="1" x14ac:dyDescent="0.2">
      <c r="A37" s="106" t="s">
        <v>222</v>
      </c>
      <c r="B37" s="420" t="s">
        <v>295</v>
      </c>
      <c r="C37" s="431"/>
      <c r="D37" s="53">
        <f>(7.25*2.62) + ( 6.4*2.22) + 4.8</f>
        <v>38.003</v>
      </c>
      <c r="E37" s="46"/>
      <c r="F37" s="40"/>
      <c r="G37" s="109"/>
      <c r="H37" s="108"/>
    </row>
    <row r="38" spans="1:8" s="41" customFormat="1" ht="15.75" customHeight="1" x14ac:dyDescent="0.2">
      <c r="A38" s="106" t="s">
        <v>224</v>
      </c>
      <c r="B38" s="420" t="s">
        <v>223</v>
      </c>
      <c r="C38" s="431"/>
      <c r="D38" s="53">
        <f>(2.4*0.5)</f>
        <v>1.2</v>
      </c>
      <c r="E38" s="46"/>
      <c r="F38" s="40"/>
      <c r="G38" s="109"/>
      <c r="H38" s="108"/>
    </row>
    <row r="39" spans="1:8" s="41" customFormat="1" ht="25.5" customHeight="1" x14ac:dyDescent="0.2">
      <c r="A39" s="52" t="s">
        <v>94</v>
      </c>
      <c r="B39" s="413" t="s">
        <v>802</v>
      </c>
      <c r="C39" s="414"/>
      <c r="D39" s="53">
        <f>(8.91*0.09*3) + (0.35*2*3) + (2.4*0.2) + (2.2*0.27) + (2*0.35) + (2.2*3*0.2) + (1*8.37*5) + (1*6.27*11)</f>
        <v>118.41969999999999</v>
      </c>
      <c r="E39" s="46"/>
      <c r="F39" s="40"/>
      <c r="G39" s="109"/>
      <c r="H39" s="108"/>
    </row>
    <row r="40" spans="1:8" s="41" customFormat="1" ht="15.75" customHeight="1" x14ac:dyDescent="0.2">
      <c r="A40" s="52" t="s">
        <v>845</v>
      </c>
      <c r="B40" s="413" t="s">
        <v>848</v>
      </c>
      <c r="C40" s="414"/>
      <c r="D40" s="53">
        <f>(1.2*4.68)*15</f>
        <v>84.24</v>
      </c>
      <c r="E40" s="46"/>
      <c r="F40" s="40"/>
      <c r="G40" s="109"/>
      <c r="H40" s="108"/>
    </row>
    <row r="41" spans="1:8" s="41" customFormat="1" ht="39.75" customHeight="1" x14ac:dyDescent="0.2">
      <c r="A41" s="52" t="s">
        <v>750</v>
      </c>
      <c r="B41" s="413" t="s">
        <v>805</v>
      </c>
      <c r="C41" s="414"/>
      <c r="D41" s="53">
        <f>(0.95*1.92) + (0.95*14.64) + (0.95*6.28) + (0.95*6.56) + (0.95*2.27) + (0.95*16.04) + (0.95*6.98) + (0.95*7.26) + (1.35*2.27) + (1.35*16.04) + (1.35*7.18) + (1.35*6.98*3) + (1.35*7.26)</f>
        <v>131.334</v>
      </c>
      <c r="E41" s="46"/>
      <c r="F41" s="40"/>
      <c r="G41" s="109"/>
      <c r="H41" s="108"/>
    </row>
    <row r="42" spans="1:8" s="41" customFormat="1" ht="15.75" customHeight="1" x14ac:dyDescent="0.2">
      <c r="A42" s="52" t="s">
        <v>772</v>
      </c>
      <c r="B42" s="413" t="s">
        <v>797</v>
      </c>
      <c r="C42" s="414"/>
      <c r="D42" s="53">
        <f>(2.4*0.5*16)</f>
        <v>19.2</v>
      </c>
      <c r="E42" s="46"/>
      <c r="F42" s="40"/>
      <c r="G42" s="109"/>
      <c r="H42" s="108"/>
    </row>
    <row r="43" spans="1:8" s="41" customFormat="1" ht="15.75" customHeight="1" x14ac:dyDescent="0.2">
      <c r="A43" s="104" t="s">
        <v>194</v>
      </c>
      <c r="B43" s="413" t="s">
        <v>296</v>
      </c>
      <c r="C43" s="415"/>
      <c r="D43" s="119">
        <f>(1.89*0.6) + (1.49*0.5)</f>
        <v>1.879</v>
      </c>
      <c r="E43" s="46"/>
      <c r="F43" s="40"/>
      <c r="G43" s="54"/>
    </row>
    <row r="44" spans="1:8" s="41" customFormat="1" ht="15.75" customHeight="1" x14ac:dyDescent="0.2">
      <c r="A44" s="104" t="s">
        <v>234</v>
      </c>
      <c r="B44" s="413" t="s">
        <v>297</v>
      </c>
      <c r="C44" s="414"/>
      <c r="D44" s="124">
        <f>(22.59*0.5) + (12.21*0.35) + 15.51</f>
        <v>31.078499999999998</v>
      </c>
      <c r="E44" s="46"/>
      <c r="F44" s="40"/>
      <c r="G44" s="54"/>
    </row>
    <row r="45" spans="1:8" s="41" customFormat="1" ht="15.75" customHeight="1" x14ac:dyDescent="0.2">
      <c r="A45" s="410"/>
      <c r="B45" s="411"/>
      <c r="C45" s="411"/>
      <c r="D45" s="411"/>
      <c r="E45" s="412"/>
      <c r="F45" s="40"/>
    </row>
    <row r="46" spans="1:8" s="41" customFormat="1" ht="15.75" customHeight="1" x14ac:dyDescent="0.2">
      <c r="A46" s="416" t="s">
        <v>120</v>
      </c>
      <c r="B46" s="417"/>
      <c r="C46" s="417"/>
      <c r="D46" s="75">
        <f>SUM(D47:D47)</f>
        <v>44.406100000000002</v>
      </c>
      <c r="E46" s="48" t="s">
        <v>41</v>
      </c>
      <c r="F46" s="40" t="s">
        <v>42</v>
      </c>
    </row>
    <row r="47" spans="1:8" s="41" customFormat="1" ht="36" customHeight="1" x14ac:dyDescent="0.2">
      <c r="A47" s="106" t="s">
        <v>220</v>
      </c>
      <c r="B47" s="413" t="s">
        <v>854</v>
      </c>
      <c r="C47" s="415"/>
      <c r="D47" s="58">
        <f>(4.71*1.45) + (3.77*1.15) + (0.3*2.84) + (2.84*0.4) + (0.94*0.4) + (0.09*2.32) + (0.46*1.87) + (1.88*2.16) + (2.51*2.09) + (0.35*3.14) + (0.1*3.14) + (1.41*1.88*3) + (2.51*1.4*3) + (0.1*3.14) + (0.28)</f>
        <v>44.406100000000002</v>
      </c>
      <c r="E47" s="59"/>
      <c r="F47" s="40"/>
    </row>
    <row r="48" spans="1:8" s="41" customFormat="1" ht="15.75" customHeight="1" x14ac:dyDescent="0.2">
      <c r="A48" s="410"/>
      <c r="B48" s="411"/>
      <c r="C48" s="411"/>
      <c r="D48" s="411"/>
      <c r="E48" s="412"/>
      <c r="F48" s="40"/>
    </row>
    <row r="49" spans="1:7" s="41" customFormat="1" ht="15" customHeight="1" x14ac:dyDescent="0.2">
      <c r="A49" s="439" t="s">
        <v>149</v>
      </c>
      <c r="B49" s="440"/>
      <c r="C49" s="440"/>
      <c r="D49" s="75">
        <f>SUM(D50:D62)</f>
        <v>391.04784999999998</v>
      </c>
      <c r="E49" s="48" t="s">
        <v>45</v>
      </c>
      <c r="F49" s="40" t="s">
        <v>42</v>
      </c>
      <c r="G49" s="54"/>
    </row>
    <row r="50" spans="1:7" s="41" customFormat="1" ht="24" customHeight="1" x14ac:dyDescent="0.2">
      <c r="A50" s="52" t="s">
        <v>828</v>
      </c>
      <c r="B50" s="413" t="s">
        <v>850</v>
      </c>
      <c r="C50" s="415"/>
      <c r="D50" s="53">
        <f>(5.6*17.3)</f>
        <v>96.88</v>
      </c>
      <c r="E50" s="46"/>
      <c r="F50" s="40"/>
      <c r="G50" s="54"/>
    </row>
    <row r="51" spans="1:7" s="41" customFormat="1" ht="24" customHeight="1" x14ac:dyDescent="0.2">
      <c r="A51" s="52" t="s">
        <v>87</v>
      </c>
      <c r="B51" s="413" t="s">
        <v>837</v>
      </c>
      <c r="C51" s="415"/>
      <c r="D51" s="53">
        <f>(138.4*0.04)</f>
        <v>5.5360000000000005</v>
      </c>
      <c r="E51" s="46"/>
      <c r="F51" s="40"/>
      <c r="G51" s="54"/>
    </row>
    <row r="52" spans="1:7" s="41" customFormat="1" ht="24" customHeight="1" x14ac:dyDescent="0.2">
      <c r="A52" s="52" t="s">
        <v>846</v>
      </c>
      <c r="B52" s="413" t="s">
        <v>849</v>
      </c>
      <c r="C52" s="415"/>
      <c r="D52" s="53">
        <f>(0.25*297.25)*2</f>
        <v>148.625</v>
      </c>
      <c r="E52" s="46"/>
      <c r="F52" s="40"/>
      <c r="G52" s="54"/>
    </row>
    <row r="53" spans="1:7" s="41" customFormat="1" ht="15.75" customHeight="1" x14ac:dyDescent="0.2">
      <c r="A53" s="52" t="s">
        <v>218</v>
      </c>
      <c r="B53" s="413" t="s">
        <v>299</v>
      </c>
      <c r="C53" s="414"/>
      <c r="D53" s="53">
        <f>(5.98*0.8*2) + (1.28*14.5) + (0.5*35.85) + (12.38*4.33)</f>
        <v>99.6584</v>
      </c>
      <c r="E53" s="46"/>
      <c r="F53" s="40"/>
      <c r="G53" s="54"/>
    </row>
    <row r="54" spans="1:7" s="41" customFormat="1" ht="15.75" customHeight="1" x14ac:dyDescent="0.2">
      <c r="A54" s="52" t="s">
        <v>226</v>
      </c>
      <c r="B54" s="413" t="s">
        <v>228</v>
      </c>
      <c r="C54" s="414"/>
      <c r="D54" s="53">
        <f>(0.84*1.25)</f>
        <v>1.05</v>
      </c>
      <c r="E54" s="46"/>
      <c r="F54" s="40"/>
      <c r="G54" s="54"/>
    </row>
    <row r="55" spans="1:7" s="41" customFormat="1" ht="24" x14ac:dyDescent="0.2">
      <c r="A55" s="106" t="s">
        <v>222</v>
      </c>
      <c r="B55" s="420" t="s">
        <v>847</v>
      </c>
      <c r="C55" s="421"/>
      <c r="D55" s="53">
        <f>(0.09*4.68)*15</f>
        <v>6.3179999999999996</v>
      </c>
      <c r="E55" s="46"/>
      <c r="F55" s="40"/>
      <c r="G55" s="54"/>
    </row>
    <row r="56" spans="1:7" s="41" customFormat="1" ht="24" customHeight="1" x14ac:dyDescent="0.2">
      <c r="A56" s="52" t="s">
        <v>94</v>
      </c>
      <c r="B56" s="413" t="s">
        <v>803</v>
      </c>
      <c r="C56" s="414"/>
      <c r="D56" s="53">
        <f>(0.09*3.22*3) + (0.24*0.35*3) + (0.28*0.2*3) + (0.32*0.2) + (0.28*0.28) + (0.24*0.35) + (0.0625*8.37*5) + (0.0625*6.27*11)</f>
        <v>8.4420500000000001</v>
      </c>
      <c r="E56" s="46"/>
      <c r="F56" s="40"/>
      <c r="G56" s="54"/>
    </row>
    <row r="57" spans="1:7" s="41" customFormat="1" ht="24" customHeight="1" x14ac:dyDescent="0.2">
      <c r="A57" s="52" t="s">
        <v>845</v>
      </c>
      <c r="B57" s="413" t="s">
        <v>837</v>
      </c>
      <c r="C57" s="415"/>
      <c r="D57" s="53"/>
      <c r="E57" s="46"/>
      <c r="F57" s="40"/>
      <c r="G57" s="54"/>
    </row>
    <row r="58" spans="1:7" s="41" customFormat="1" ht="38.25" customHeight="1" x14ac:dyDescent="0.2">
      <c r="A58" s="52" t="s">
        <v>750</v>
      </c>
      <c r="B58" s="413" t="s">
        <v>806</v>
      </c>
      <c r="C58" s="414"/>
      <c r="D58" s="53">
        <f>(0.075*1.92) + (0.075*14.64) + (0.075*6.28) + (0.075*6.56) + (0.075*2.27) + (0.075*16.04) + (0.075*6.98) + (0.075*7.26) + (0.125*2.27) + (0.125*16.04) + (0.125*7.18) + (0.125*6.98*3) + (0.125*7.26)</f>
        <v>11.357500000000002</v>
      </c>
      <c r="E58" s="46"/>
      <c r="F58" s="40"/>
      <c r="G58" s="54"/>
    </row>
    <row r="59" spans="1:7" s="41" customFormat="1" ht="15.75" customHeight="1" x14ac:dyDescent="0.2">
      <c r="A59" s="52" t="s">
        <v>772</v>
      </c>
      <c r="B59" s="413" t="s">
        <v>799</v>
      </c>
      <c r="C59" s="414"/>
      <c r="D59" s="53">
        <f>(0.36*0.5*16)</f>
        <v>2.88</v>
      </c>
      <c r="E59" s="46"/>
      <c r="F59" s="40"/>
      <c r="G59" s="54"/>
    </row>
    <row r="60" spans="1:7" s="41" customFormat="1" ht="15.75" customHeight="1" x14ac:dyDescent="0.2">
      <c r="A60" s="104" t="s">
        <v>194</v>
      </c>
      <c r="B60" s="413" t="s">
        <v>225</v>
      </c>
      <c r="C60" s="415"/>
      <c r="D60" s="53">
        <f>(0.17*0.5) + (0.1*0.42)</f>
        <v>0.127</v>
      </c>
      <c r="E60" s="46"/>
      <c r="F60" s="40"/>
      <c r="G60" s="54"/>
    </row>
    <row r="61" spans="1:7" s="41" customFormat="1" ht="15.75" customHeight="1" x14ac:dyDescent="0.2">
      <c r="A61" s="104" t="s">
        <v>220</v>
      </c>
      <c r="B61" s="413" t="s">
        <v>300</v>
      </c>
      <c r="C61" s="414"/>
      <c r="D61" s="53">
        <f>(0.41*4.71) + (0.18*2.84) + (0.3*3.14) + (0.19*2.51*3) + (0.38*0.035*3)</f>
        <v>4.8548999999999998</v>
      </c>
      <c r="E61" s="46"/>
      <c r="F61" s="40"/>
      <c r="G61" s="54"/>
    </row>
    <row r="62" spans="1:7" s="41" customFormat="1" ht="15.75" customHeight="1" x14ac:dyDescent="0.2">
      <c r="A62" s="104" t="s">
        <v>234</v>
      </c>
      <c r="B62" s="413" t="s">
        <v>301</v>
      </c>
      <c r="C62" s="414"/>
      <c r="D62" s="124">
        <f>(3.3*0.2) + (15.53*0.15*2)</f>
        <v>5.319</v>
      </c>
      <c r="E62" s="46"/>
      <c r="F62" s="40"/>
      <c r="G62" s="54"/>
    </row>
    <row r="63" spans="1:7" s="41" customFormat="1" ht="15.75" customHeight="1" x14ac:dyDescent="0.2">
      <c r="A63" s="410"/>
      <c r="B63" s="411"/>
      <c r="C63" s="411"/>
      <c r="D63" s="411"/>
      <c r="E63" s="412"/>
      <c r="F63" s="40"/>
    </row>
    <row r="64" spans="1:7" s="41" customFormat="1" ht="15.75" customHeight="1" x14ac:dyDescent="0.2">
      <c r="A64" s="416" t="s">
        <v>745</v>
      </c>
      <c r="B64" s="417"/>
      <c r="C64" s="434"/>
      <c r="D64" s="76">
        <f>SUM(D65:D76)</f>
        <v>18561.120000000003</v>
      </c>
      <c r="E64" s="48" t="s">
        <v>51</v>
      </c>
      <c r="F64" s="40"/>
    </row>
    <row r="65" spans="1:7" s="41" customFormat="1" ht="15.75" customHeight="1" x14ac:dyDescent="0.2">
      <c r="A65" s="52" t="s">
        <v>87</v>
      </c>
      <c r="B65" s="413" t="s">
        <v>838</v>
      </c>
      <c r="C65" s="415"/>
      <c r="D65" s="61">
        <f>(5.54*20)</f>
        <v>110.8</v>
      </c>
      <c r="E65" s="59"/>
      <c r="F65" s="40"/>
    </row>
    <row r="66" spans="1:7" s="41" customFormat="1" ht="15.75" customHeight="1" x14ac:dyDescent="0.2">
      <c r="A66" s="52" t="s">
        <v>94</v>
      </c>
      <c r="B66" s="413" t="s">
        <v>808</v>
      </c>
      <c r="C66" s="415"/>
      <c r="D66" s="61">
        <f>166+142</f>
        <v>308</v>
      </c>
      <c r="E66" s="290"/>
      <c r="F66" s="40"/>
    </row>
    <row r="67" spans="1:7" s="41" customFormat="1" ht="15.75" customHeight="1" x14ac:dyDescent="0.2">
      <c r="A67" s="52" t="s">
        <v>845</v>
      </c>
      <c r="B67" s="413">
        <v>414</v>
      </c>
      <c r="C67" s="415"/>
      <c r="D67" s="61">
        <f>414</f>
        <v>414</v>
      </c>
      <c r="E67" s="291"/>
      <c r="F67" s="40"/>
    </row>
    <row r="68" spans="1:7" s="41" customFormat="1" ht="15.75" customHeight="1" x14ac:dyDescent="0.2">
      <c r="A68" s="52" t="s">
        <v>750</v>
      </c>
      <c r="B68" s="413" t="s">
        <v>810</v>
      </c>
      <c r="C68" s="415"/>
      <c r="D68" s="61">
        <f>94+120+238</f>
        <v>452</v>
      </c>
      <c r="E68" s="290"/>
      <c r="F68" s="40"/>
    </row>
    <row r="69" spans="1:7" s="41" customFormat="1" ht="15.75" customHeight="1" x14ac:dyDescent="0.2">
      <c r="A69" s="52" t="s">
        <v>772</v>
      </c>
      <c r="B69" s="413">
        <v>117</v>
      </c>
      <c r="C69" s="415"/>
      <c r="D69" s="61">
        <f>117</f>
        <v>117</v>
      </c>
      <c r="E69" s="290"/>
      <c r="F69" s="40"/>
    </row>
    <row r="70" spans="1:7" s="41" customFormat="1" ht="15.75" customHeight="1" x14ac:dyDescent="0.2">
      <c r="A70" s="52" t="s">
        <v>782</v>
      </c>
      <c r="B70" s="413">
        <v>192.74</v>
      </c>
      <c r="C70" s="415"/>
      <c r="D70" s="61">
        <f>192.74</f>
        <v>192.74</v>
      </c>
      <c r="E70" s="290"/>
      <c r="F70" s="40"/>
    </row>
    <row r="71" spans="1:7" s="41" customFormat="1" ht="15.75" customHeight="1" x14ac:dyDescent="0.2">
      <c r="A71" s="104" t="s">
        <v>851</v>
      </c>
      <c r="B71" s="413" t="s">
        <v>853</v>
      </c>
      <c r="C71" s="415"/>
      <c r="D71" s="61">
        <f>3851.21+3727+61.27+299</f>
        <v>7938.4800000000005</v>
      </c>
      <c r="E71" s="290"/>
      <c r="F71" s="40"/>
    </row>
    <row r="72" spans="1:7" s="41" customFormat="1" ht="15.75" customHeight="1" x14ac:dyDescent="0.2">
      <c r="A72" s="104" t="s">
        <v>852</v>
      </c>
      <c r="B72" s="413">
        <v>7982.22</v>
      </c>
      <c r="C72" s="415"/>
      <c r="D72" s="61">
        <f>7982.22</f>
        <v>7982.22</v>
      </c>
      <c r="E72" s="291"/>
      <c r="F72" s="40"/>
    </row>
    <row r="73" spans="1:7" s="41" customFormat="1" ht="21.75" customHeight="1" x14ac:dyDescent="0.2">
      <c r="A73" s="106" t="s">
        <v>222</v>
      </c>
      <c r="B73" s="413">
        <v>530.88</v>
      </c>
      <c r="C73" s="415"/>
      <c r="D73" s="61">
        <f>530.88</f>
        <v>530.88</v>
      </c>
      <c r="E73" s="291"/>
      <c r="F73" s="40"/>
    </row>
    <row r="74" spans="1:7" s="41" customFormat="1" ht="15.75" customHeight="1" x14ac:dyDescent="0.2">
      <c r="A74" s="104" t="s">
        <v>234</v>
      </c>
      <c r="B74" s="413" t="s">
        <v>856</v>
      </c>
      <c r="C74" s="415"/>
      <c r="D74" s="61">
        <f>5.32*50</f>
        <v>266</v>
      </c>
      <c r="E74" s="291"/>
      <c r="F74" s="40"/>
    </row>
    <row r="75" spans="1:7" s="41" customFormat="1" ht="15.75" customHeight="1" x14ac:dyDescent="0.2">
      <c r="A75" s="104" t="s">
        <v>220</v>
      </c>
      <c r="B75" s="413" t="s">
        <v>857</v>
      </c>
      <c r="C75" s="415"/>
      <c r="D75" s="61">
        <f>4.85*50</f>
        <v>242.49999999999997</v>
      </c>
      <c r="E75" s="291"/>
      <c r="F75" s="40"/>
    </row>
    <row r="76" spans="1:7" s="41" customFormat="1" ht="15.75" customHeight="1" x14ac:dyDescent="0.2">
      <c r="A76" s="104" t="s">
        <v>194</v>
      </c>
      <c r="B76" s="413" t="s">
        <v>796</v>
      </c>
      <c r="C76" s="415"/>
      <c r="D76" s="61">
        <f>0.13*50</f>
        <v>6.5</v>
      </c>
      <c r="E76" s="290"/>
      <c r="F76" s="40"/>
    </row>
    <row r="77" spans="1:7" s="41" customFormat="1" ht="15.75" customHeight="1" x14ac:dyDescent="0.2">
      <c r="A77" s="410"/>
      <c r="B77" s="411"/>
      <c r="C77" s="411"/>
      <c r="D77" s="411"/>
      <c r="E77" s="412"/>
      <c r="F77" s="40"/>
    </row>
    <row r="78" spans="1:7" s="51" customFormat="1" ht="16.5" customHeight="1" x14ac:dyDescent="0.2">
      <c r="A78" s="416" t="s">
        <v>746</v>
      </c>
      <c r="B78" s="417"/>
      <c r="C78" s="434"/>
      <c r="D78" s="76">
        <f>SUM(D79:D82)</f>
        <v>305</v>
      </c>
      <c r="E78" s="48" t="s">
        <v>51</v>
      </c>
      <c r="F78" s="49"/>
      <c r="G78" s="62"/>
    </row>
    <row r="79" spans="1:7" s="51" customFormat="1" ht="15.75" customHeight="1" x14ac:dyDescent="0.2">
      <c r="A79" s="52" t="s">
        <v>94</v>
      </c>
      <c r="B79" s="413" t="s">
        <v>809</v>
      </c>
      <c r="C79" s="415"/>
      <c r="D79" s="61">
        <f>62+53</f>
        <v>115</v>
      </c>
      <c r="E79" s="290"/>
      <c r="F79" s="49"/>
      <c r="G79" s="62"/>
    </row>
    <row r="80" spans="1:7" s="51" customFormat="1" ht="15.75" customHeight="1" x14ac:dyDescent="0.2">
      <c r="A80" s="52" t="s">
        <v>750</v>
      </c>
      <c r="B80" s="413" t="s">
        <v>811</v>
      </c>
      <c r="C80" s="415"/>
      <c r="D80" s="61">
        <f>31+34+80</f>
        <v>145</v>
      </c>
      <c r="E80" s="290"/>
      <c r="F80" s="49"/>
      <c r="G80" s="62"/>
    </row>
    <row r="81" spans="1:7" s="51" customFormat="1" ht="15.75" customHeight="1" x14ac:dyDescent="0.2">
      <c r="A81" s="52" t="s">
        <v>772</v>
      </c>
      <c r="B81" s="413">
        <v>17</v>
      </c>
      <c r="C81" s="415"/>
      <c r="D81" s="61">
        <f>17</f>
        <v>17</v>
      </c>
      <c r="E81" s="290"/>
      <c r="F81" s="49"/>
      <c r="G81" s="62"/>
    </row>
    <row r="82" spans="1:7" s="51" customFormat="1" ht="15.75" customHeight="1" x14ac:dyDescent="0.2">
      <c r="A82" s="104" t="s">
        <v>851</v>
      </c>
      <c r="B82" s="413">
        <v>28</v>
      </c>
      <c r="C82" s="415"/>
      <c r="D82" s="61">
        <f>28</f>
        <v>28</v>
      </c>
      <c r="E82" s="290"/>
      <c r="F82" s="49"/>
      <c r="G82" s="62"/>
    </row>
    <row r="83" spans="1:7" s="41" customFormat="1" ht="15.75" customHeight="1" x14ac:dyDescent="0.2">
      <c r="A83" s="410"/>
      <c r="B83" s="411"/>
      <c r="C83" s="411"/>
      <c r="D83" s="411"/>
      <c r="E83" s="412"/>
      <c r="F83" s="40"/>
    </row>
    <row r="84" spans="1:7" s="41" customFormat="1" ht="15.75" customHeight="1" x14ac:dyDescent="0.2">
      <c r="A84" s="422" t="s">
        <v>211</v>
      </c>
      <c r="B84" s="423"/>
      <c r="C84" s="423"/>
      <c r="D84" s="75">
        <f>SUM(D85:D88)</f>
        <v>15.848500000000001</v>
      </c>
      <c r="E84" s="48" t="s">
        <v>45</v>
      </c>
      <c r="F84" s="40" t="s">
        <v>42</v>
      </c>
    </row>
    <row r="85" spans="1:7" s="41" customFormat="1" ht="15.75" customHeight="1" x14ac:dyDescent="0.2">
      <c r="A85" s="63" t="s">
        <v>194</v>
      </c>
      <c r="B85" s="413" t="s">
        <v>230</v>
      </c>
      <c r="C85" s="415"/>
      <c r="D85" s="65">
        <f>(0.51*0.05)</f>
        <v>2.5500000000000002E-2</v>
      </c>
      <c r="E85" s="64"/>
      <c r="F85" s="40"/>
    </row>
    <row r="86" spans="1:7" s="41" customFormat="1" ht="15.75" customHeight="1" x14ac:dyDescent="0.2">
      <c r="A86" s="63" t="s">
        <v>209</v>
      </c>
      <c r="B86" s="413" t="s">
        <v>231</v>
      </c>
      <c r="C86" s="414"/>
      <c r="D86" s="120">
        <f>(1.6*1.6*0.05)</f>
        <v>0.12800000000000003</v>
      </c>
      <c r="E86" s="64"/>
      <c r="F86" s="40"/>
    </row>
    <row r="87" spans="1:7" s="41" customFormat="1" ht="15.75" customHeight="1" x14ac:dyDescent="0.2">
      <c r="A87" s="104" t="s">
        <v>234</v>
      </c>
      <c r="B87" s="413" t="s">
        <v>302</v>
      </c>
      <c r="C87" s="415"/>
      <c r="D87" s="147">
        <f>(16.65*0.05)</f>
        <v>0.83250000000000002</v>
      </c>
      <c r="E87" s="64"/>
      <c r="F87" s="40"/>
    </row>
    <row r="88" spans="1:7" s="41" customFormat="1" ht="15.75" customHeight="1" x14ac:dyDescent="0.2">
      <c r="A88" s="104" t="s">
        <v>254</v>
      </c>
      <c r="B88" s="413" t="s">
        <v>255</v>
      </c>
      <c r="C88" s="415"/>
      <c r="D88" s="65">
        <f>(297.25*0.05)</f>
        <v>14.862500000000001</v>
      </c>
      <c r="E88" s="140"/>
      <c r="F88" s="40"/>
    </row>
    <row r="89" spans="1:7" s="41" customFormat="1" ht="15.75" customHeight="1" x14ac:dyDescent="0.2">
      <c r="A89" s="410"/>
      <c r="B89" s="411"/>
      <c r="C89" s="411"/>
      <c r="D89" s="411"/>
      <c r="E89" s="412"/>
      <c r="F89" s="40"/>
    </row>
    <row r="90" spans="1:7" s="41" customFormat="1" ht="15.75" customHeight="1" x14ac:dyDescent="0.2">
      <c r="A90" s="422" t="s">
        <v>229</v>
      </c>
      <c r="B90" s="423"/>
      <c r="C90" s="423"/>
      <c r="D90" s="75">
        <f>SUM(D91:D91)</f>
        <v>0.31460000000000005</v>
      </c>
      <c r="E90" s="48" t="s">
        <v>45</v>
      </c>
      <c r="F90" s="40" t="s">
        <v>42</v>
      </c>
    </row>
    <row r="91" spans="1:7" s="41" customFormat="1" ht="15.75" customHeight="1" x14ac:dyDescent="0.2">
      <c r="A91" s="63" t="s">
        <v>220</v>
      </c>
      <c r="B91" s="413" t="s">
        <v>303</v>
      </c>
      <c r="C91" s="415"/>
      <c r="D91" s="65">
        <f>(1.1*1.1*0.065) + ( 1.1*1.1*0.065*3)</f>
        <v>0.31460000000000005</v>
      </c>
      <c r="E91" s="64"/>
      <c r="F91" s="40"/>
    </row>
    <row r="92" spans="1:7" s="41" customFormat="1" ht="15.75" customHeight="1" x14ac:dyDescent="0.2">
      <c r="A92" s="410"/>
      <c r="B92" s="411"/>
      <c r="C92" s="411"/>
      <c r="D92" s="411"/>
      <c r="E92" s="412"/>
      <c r="F92" s="40"/>
    </row>
    <row r="93" spans="1:7" s="41" customFormat="1" ht="15.75" customHeight="1" x14ac:dyDescent="0.2">
      <c r="A93" s="422" t="s">
        <v>8</v>
      </c>
      <c r="B93" s="423"/>
      <c r="C93" s="423"/>
      <c r="D93" s="75">
        <f>SUM(D94:D94)</f>
        <v>95.100000000000023</v>
      </c>
      <c r="E93" s="66" t="s">
        <v>41</v>
      </c>
      <c r="F93" s="40" t="s">
        <v>42</v>
      </c>
    </row>
    <row r="94" spans="1:7" s="41" customFormat="1" ht="15.75" customHeight="1" x14ac:dyDescent="0.2">
      <c r="A94" s="63" t="s">
        <v>87</v>
      </c>
      <c r="B94" s="413" t="s">
        <v>232</v>
      </c>
      <c r="C94" s="415"/>
      <c r="D94" s="65">
        <f>527.12-432.02</f>
        <v>95.100000000000023</v>
      </c>
      <c r="E94" s="64"/>
      <c r="F94" s="40"/>
    </row>
    <row r="95" spans="1:7" s="41" customFormat="1" x14ac:dyDescent="0.2">
      <c r="A95" s="410"/>
      <c r="B95" s="411"/>
      <c r="C95" s="411"/>
      <c r="D95" s="411"/>
      <c r="E95" s="412"/>
      <c r="F95" s="40"/>
    </row>
    <row r="96" spans="1:7" s="51" customFormat="1" ht="16.5" customHeight="1" x14ac:dyDescent="0.2">
      <c r="A96" s="422" t="s">
        <v>52</v>
      </c>
      <c r="B96" s="423"/>
      <c r="C96" s="423"/>
      <c r="D96" s="75">
        <f>SUM(D97:D101)</f>
        <v>1928.9703</v>
      </c>
      <c r="E96" s="48" t="s">
        <v>45</v>
      </c>
      <c r="F96" s="49" t="s">
        <v>42</v>
      </c>
    </row>
    <row r="97" spans="1:7" s="41" customFormat="1" ht="15.75" customHeight="1" x14ac:dyDescent="0.2">
      <c r="A97" s="63" t="s">
        <v>87</v>
      </c>
      <c r="B97" s="413" t="s">
        <v>304</v>
      </c>
      <c r="C97" s="415"/>
      <c r="D97" s="65">
        <f>(243.58*4.08) + (33.53*5.98) +(126*5.67)</f>
        <v>1908.7357999999999</v>
      </c>
      <c r="E97" s="64"/>
      <c r="F97" s="40"/>
      <c r="G97" s="54"/>
    </row>
    <row r="98" spans="1:7" s="41" customFormat="1" ht="24" customHeight="1" x14ac:dyDescent="0.2">
      <c r="A98" s="106" t="s">
        <v>222</v>
      </c>
      <c r="B98" s="413" t="s">
        <v>305</v>
      </c>
      <c r="C98" s="414"/>
      <c r="D98" s="65">
        <f>4.8 *2.22</f>
        <v>10.656000000000001</v>
      </c>
      <c r="E98" s="140"/>
      <c r="F98" s="40"/>
      <c r="G98" s="54"/>
    </row>
    <row r="99" spans="1:7" s="41" customFormat="1" ht="15.75" customHeight="1" x14ac:dyDescent="0.2">
      <c r="A99" s="63" t="s">
        <v>220</v>
      </c>
      <c r="B99" s="413" t="s">
        <v>306</v>
      </c>
      <c r="C99" s="414"/>
      <c r="D99" s="120">
        <f>(0.38*1.4) *3</f>
        <v>1.5959999999999996</v>
      </c>
      <c r="E99" s="64"/>
      <c r="F99" s="40"/>
      <c r="G99" s="54"/>
    </row>
    <row r="100" spans="1:7" s="41" customFormat="1" ht="15.75" customHeight="1" x14ac:dyDescent="0.2">
      <c r="A100" s="136" t="s">
        <v>226</v>
      </c>
      <c r="B100" s="413" t="s">
        <v>233</v>
      </c>
      <c r="C100" s="414"/>
      <c r="D100" s="120">
        <f>(3.14*1.25*0.86) + (0.7*1.25*1.72)</f>
        <v>4.8804999999999996</v>
      </c>
      <c r="E100" s="64"/>
      <c r="F100" s="40"/>
      <c r="G100" s="54"/>
    </row>
    <row r="101" spans="1:7" s="41" customFormat="1" ht="15.75" customHeight="1" x14ac:dyDescent="0.2">
      <c r="A101" s="104" t="s">
        <v>234</v>
      </c>
      <c r="B101" s="413" t="s">
        <v>307</v>
      </c>
      <c r="C101" s="415"/>
      <c r="D101" s="65">
        <f>(15.51*0.2)</f>
        <v>3.1020000000000003</v>
      </c>
      <c r="E101" s="140"/>
      <c r="F101" s="40"/>
      <c r="G101" s="54"/>
    </row>
    <row r="102" spans="1:7" s="41" customFormat="1" x14ac:dyDescent="0.2">
      <c r="A102" s="410"/>
      <c r="B102" s="411"/>
      <c r="C102" s="411"/>
      <c r="D102" s="411"/>
      <c r="E102" s="412"/>
      <c r="F102" s="40"/>
    </row>
    <row r="103" spans="1:7" s="51" customFormat="1" ht="15" customHeight="1" x14ac:dyDescent="0.2">
      <c r="A103" s="418" t="s">
        <v>53</v>
      </c>
      <c r="B103" s="419"/>
      <c r="C103" s="419"/>
      <c r="D103" s="75">
        <f>SUM(D104:D116)</f>
        <v>2971.7040500000003</v>
      </c>
      <c r="E103" s="66" t="s">
        <v>41</v>
      </c>
      <c r="F103" s="49" t="s">
        <v>42</v>
      </c>
    </row>
    <row r="104" spans="1:7" s="41" customFormat="1" ht="15.75" customHeight="1" x14ac:dyDescent="0.2">
      <c r="A104" s="52" t="s">
        <v>87</v>
      </c>
      <c r="B104" s="420" t="s">
        <v>308</v>
      </c>
      <c r="C104" s="421"/>
      <c r="D104" s="53">
        <f>(20*14*2) + (0.28*14*3) + (20.5*17.3) + (16.8*7.5) + (22.15*14.5) + (17.3*7.9)</f>
        <v>1510.2550000000001</v>
      </c>
      <c r="E104" s="46"/>
      <c r="F104" s="40"/>
      <c r="G104" s="54"/>
    </row>
    <row r="105" spans="1:7" s="41" customFormat="1" ht="24" customHeight="1" x14ac:dyDescent="0.2">
      <c r="A105" s="52" t="s">
        <v>218</v>
      </c>
      <c r="B105" s="420" t="s">
        <v>309</v>
      </c>
      <c r="C105" s="431"/>
      <c r="D105" s="53">
        <f>(48.5*4.08) + (49.8*4.48) + (0.55*49.8) + (1.9*14) + (1.9*14.5) + (5.78*14.5) + (5.12*14.5) + (2.57*17.3) + (2.02*16.8) + (2.57*7.75) + (1.87*7.5*2)</f>
        <v>786.93850000000009</v>
      </c>
      <c r="E105" s="46"/>
      <c r="F105" s="40"/>
      <c r="G105" s="54"/>
    </row>
    <row r="106" spans="1:7" s="41" customFormat="1" ht="22.5" customHeight="1" x14ac:dyDescent="0.2">
      <c r="A106" s="52" t="s">
        <v>94</v>
      </c>
      <c r="B106" s="420" t="s">
        <v>804</v>
      </c>
      <c r="C106" s="421"/>
      <c r="D106" s="53">
        <f>(1.1*3.54*3) + (3.22*3) + (0.28*3) + (2.2*0.2*3) + (0.35*2*3) + (0.24*3) + (0.32+0.28+0.24) + (2.4*0.2) + (2.2*0.27) + (0.35*2) + (1*8.37*5) + (1*6.27*11)</f>
        <v>139.756</v>
      </c>
      <c r="E106" s="46"/>
      <c r="F106" s="40"/>
      <c r="G106" s="54"/>
    </row>
    <row r="107" spans="1:7" s="41" customFormat="1" ht="15.75" customHeight="1" x14ac:dyDescent="0.2">
      <c r="A107" s="52" t="s">
        <v>845</v>
      </c>
      <c r="B107" s="413" t="s">
        <v>848</v>
      </c>
      <c r="C107" s="414"/>
      <c r="D107" s="53">
        <f>(1.2*4.68)*15</f>
        <v>84.24</v>
      </c>
      <c r="E107" s="46"/>
      <c r="F107" s="40"/>
      <c r="G107" s="54"/>
    </row>
    <row r="108" spans="1:7" s="41" customFormat="1" ht="26.25" customHeight="1" x14ac:dyDescent="0.2">
      <c r="A108" s="104" t="s">
        <v>750</v>
      </c>
      <c r="B108" s="413" t="s">
        <v>807</v>
      </c>
      <c r="C108" s="414"/>
      <c r="D108" s="53">
        <f>(1.1*1.92) + (1.1*14.64) + (1.1*6.28) + (1.1*6.56) + (1.1*2.27) + (1.1*16.04) + (1.1*6.98) + (1.1*7.26) + (1.5*2.27) + (1.5*16.04) + (1.5*7.18) + (1.5*6.98*3) + (1.5*7.26)</f>
        <v>148.68</v>
      </c>
      <c r="E108" s="46"/>
      <c r="F108" s="40"/>
      <c r="G108" s="54"/>
    </row>
    <row r="109" spans="1:7" s="41" customFormat="1" ht="15.75" customHeight="1" x14ac:dyDescent="0.2">
      <c r="A109" s="52" t="s">
        <v>772</v>
      </c>
      <c r="B109" s="413" t="s">
        <v>798</v>
      </c>
      <c r="C109" s="414"/>
      <c r="D109" s="53">
        <f>(2.4*0.5*16) + (0.36*2*16)</f>
        <v>30.72</v>
      </c>
      <c r="E109" s="46"/>
      <c r="F109" s="40"/>
      <c r="G109" s="54"/>
    </row>
    <row r="110" spans="1:7" s="41" customFormat="1" ht="15.75" customHeight="1" x14ac:dyDescent="0.2">
      <c r="A110" s="104" t="s">
        <v>194</v>
      </c>
      <c r="B110" s="420" t="s">
        <v>310</v>
      </c>
      <c r="C110" s="431"/>
      <c r="D110" s="53">
        <f xml:space="preserve"> (0.6*1.9) + (1.5*0.5) + (0.25 +0.41)</f>
        <v>2.5499999999999998</v>
      </c>
      <c r="E110" s="46"/>
      <c r="F110" s="40"/>
      <c r="G110" s="54"/>
    </row>
    <row r="111" spans="1:7" s="41" customFormat="1" ht="21" customHeight="1" x14ac:dyDescent="0.2">
      <c r="A111" s="106" t="s">
        <v>222</v>
      </c>
      <c r="B111" s="420" t="s">
        <v>311</v>
      </c>
      <c r="C111" s="431"/>
      <c r="D111" s="53">
        <f>(6.39*2.22) + (7.25*2.62) + (4.8*2) + (6.26*2)</f>
        <v>55.30080000000001</v>
      </c>
      <c r="E111" s="46"/>
      <c r="F111" s="40"/>
      <c r="G111" s="54"/>
    </row>
    <row r="112" spans="1:7" s="41" customFormat="1" ht="21" customHeight="1" x14ac:dyDescent="0.2">
      <c r="A112" s="106" t="s">
        <v>224</v>
      </c>
      <c r="B112" s="420" t="s">
        <v>315</v>
      </c>
      <c r="C112" s="431"/>
      <c r="D112" s="53">
        <f>(1.6*0.6)</f>
        <v>0.96</v>
      </c>
      <c r="E112" s="46"/>
      <c r="F112" s="40"/>
      <c r="G112" s="54"/>
    </row>
    <row r="113" spans="1:7" s="41" customFormat="1" ht="36" customHeight="1" x14ac:dyDescent="0.2">
      <c r="A113" s="63" t="s">
        <v>220</v>
      </c>
      <c r="B113" s="420" t="s">
        <v>312</v>
      </c>
      <c r="C113" s="431"/>
      <c r="D113" s="53">
        <f>(2.84*0.4) + (0.46*1.87) + (3.77*1.15) + (1.45*4.71) + (1.13+1.76) + (0.85*1.16) + (1.76-0.64) + (1.13-0.28) + (2.51*2.65) + (2.16*1.88) + (3.14*0.1) + (0.28) + (1.4*2.51*3) +(1.4*1.88*3) + (0.28*3*2) + (0.56*3) + (0.075*2.67*3) + (0.78*3) + (0.1*3.14*3*2)</f>
        <v>56.936250000000001</v>
      </c>
      <c r="E113" s="46"/>
      <c r="F113" s="40"/>
      <c r="G113" s="54"/>
    </row>
    <row r="114" spans="1:7" s="41" customFormat="1" ht="15.75" customHeight="1" x14ac:dyDescent="0.2">
      <c r="A114" s="104" t="s">
        <v>234</v>
      </c>
      <c r="B114" s="420" t="s">
        <v>313</v>
      </c>
      <c r="C114" s="431"/>
      <c r="D114" s="53">
        <f>(22.59*0.5) + (15.51*2)</f>
        <v>42.314999999999998</v>
      </c>
      <c r="E114" s="46"/>
      <c r="F114" s="40"/>
      <c r="G114" s="54"/>
    </row>
    <row r="115" spans="1:7" s="41" customFormat="1" ht="15.75" customHeight="1" x14ac:dyDescent="0.2">
      <c r="A115" s="52" t="s">
        <v>226</v>
      </c>
      <c r="B115" s="420" t="s">
        <v>236</v>
      </c>
      <c r="C115" s="431"/>
      <c r="D115" s="53">
        <f>0.84 + (9.73*1.25)</f>
        <v>13.002500000000001</v>
      </c>
      <c r="E115" s="46"/>
      <c r="F115" s="40"/>
      <c r="G115" s="54"/>
    </row>
    <row r="116" spans="1:7" s="41" customFormat="1" ht="15.75" customHeight="1" x14ac:dyDescent="0.2">
      <c r="A116" s="52" t="s">
        <v>173</v>
      </c>
      <c r="B116" s="420" t="s">
        <v>235</v>
      </c>
      <c r="C116" s="431"/>
      <c r="D116" s="53">
        <f>(527.12-432.02)  + (99*0.05)</f>
        <v>100.05000000000003</v>
      </c>
      <c r="E116" s="46"/>
      <c r="F116" s="40"/>
      <c r="G116" s="54"/>
    </row>
    <row r="117" spans="1:7" s="41" customFormat="1" x14ac:dyDescent="0.2">
      <c r="A117" s="410"/>
      <c r="B117" s="411"/>
      <c r="C117" s="411"/>
      <c r="D117" s="411"/>
      <c r="E117" s="412"/>
      <c r="F117" s="40"/>
    </row>
    <row r="118" spans="1:7" s="51" customFormat="1" ht="15" customHeight="1" x14ac:dyDescent="0.2">
      <c r="A118" s="418" t="s">
        <v>54</v>
      </c>
      <c r="B118" s="419"/>
      <c r="C118" s="419"/>
      <c r="D118" s="76">
        <f>SUM(D119:D121)*1.04</f>
        <v>129.89340000000001</v>
      </c>
      <c r="E118" s="48" t="s">
        <v>41</v>
      </c>
      <c r="F118" s="49" t="s">
        <v>42</v>
      </c>
    </row>
    <row r="119" spans="1:7" s="51" customFormat="1" ht="16.5" customHeight="1" x14ac:dyDescent="0.2">
      <c r="A119" s="63" t="s">
        <v>203</v>
      </c>
      <c r="B119" s="413" t="s">
        <v>237</v>
      </c>
      <c r="C119" s="415"/>
      <c r="D119" s="67">
        <f>((34.35*3.25) - ((0.5*3.25*7) + (1*2*7) + (0.9*2.95) + (1*2.1)))</f>
        <v>81.507499999999993</v>
      </c>
      <c r="E119" s="64"/>
      <c r="F119" s="49"/>
    </row>
    <row r="120" spans="1:7" s="51" customFormat="1" ht="16.5" customHeight="1" x14ac:dyDescent="0.2">
      <c r="A120" s="132" t="s">
        <v>176</v>
      </c>
      <c r="B120" s="413" t="s">
        <v>314</v>
      </c>
      <c r="C120" s="415"/>
      <c r="D120" s="112">
        <f>(0.3*16.8*3)</f>
        <v>15.120000000000001</v>
      </c>
      <c r="E120" s="64"/>
      <c r="F120" s="49"/>
    </row>
    <row r="121" spans="1:7" s="41" customFormat="1" x14ac:dyDescent="0.2">
      <c r="A121" s="132" t="s">
        <v>99</v>
      </c>
      <c r="B121" s="413" t="s">
        <v>238</v>
      </c>
      <c r="C121" s="415"/>
      <c r="D121" s="67">
        <f>(51.4*0.55)</f>
        <v>28.270000000000003</v>
      </c>
      <c r="E121" s="64"/>
      <c r="F121" s="40"/>
      <c r="G121" s="54"/>
    </row>
    <row r="122" spans="1:7" s="41" customFormat="1" x14ac:dyDescent="0.2">
      <c r="A122" s="410"/>
      <c r="B122" s="411"/>
      <c r="C122" s="411"/>
      <c r="D122" s="411"/>
      <c r="E122" s="412"/>
      <c r="F122" s="40"/>
      <c r="G122" s="54"/>
    </row>
    <row r="123" spans="1:7" s="41" customFormat="1" x14ac:dyDescent="0.2">
      <c r="A123" s="416" t="s">
        <v>262</v>
      </c>
      <c r="B123" s="426"/>
      <c r="C123" s="426"/>
      <c r="D123" s="68">
        <f>SUM(D124:D125)</f>
        <v>5.7400000000000007E-2</v>
      </c>
      <c r="E123" s="48" t="s">
        <v>45</v>
      </c>
      <c r="F123" s="40" t="s">
        <v>42</v>
      </c>
      <c r="G123" s="54"/>
    </row>
    <row r="124" spans="1:7" s="41" customFormat="1" x14ac:dyDescent="0.2">
      <c r="A124" s="52" t="s">
        <v>263</v>
      </c>
      <c r="B124" s="424" t="s">
        <v>264</v>
      </c>
      <c r="C124" s="427"/>
      <c r="D124" s="58">
        <f>0.016*0.2*2</f>
        <v>6.4000000000000003E-3</v>
      </c>
      <c r="E124" s="59"/>
      <c r="F124" s="40"/>
      <c r="G124" s="54"/>
    </row>
    <row r="125" spans="1:7" s="41" customFormat="1" x14ac:dyDescent="0.2">
      <c r="A125" s="104" t="s">
        <v>265</v>
      </c>
      <c r="B125" s="424" t="s">
        <v>266</v>
      </c>
      <c r="C125" s="425"/>
      <c r="D125" s="58">
        <f>0.085*0.6</f>
        <v>5.1000000000000004E-2</v>
      </c>
      <c r="E125" s="59"/>
      <c r="F125" s="40"/>
      <c r="G125" s="54"/>
    </row>
    <row r="126" spans="1:7" s="41" customFormat="1" x14ac:dyDescent="0.2">
      <c r="A126" s="428"/>
      <c r="B126" s="429"/>
      <c r="C126" s="429"/>
      <c r="D126" s="429"/>
      <c r="E126" s="430"/>
      <c r="F126" s="40"/>
      <c r="G126" s="54"/>
    </row>
    <row r="127" spans="1:7" s="41" customFormat="1" x14ac:dyDescent="0.2">
      <c r="A127" s="416" t="s">
        <v>239</v>
      </c>
      <c r="B127" s="426"/>
      <c r="C127" s="426"/>
      <c r="D127" s="68">
        <f>SUM(D128:D128)</f>
        <v>126</v>
      </c>
      <c r="E127" s="48" t="s">
        <v>41</v>
      </c>
      <c r="F127" s="40" t="s">
        <v>42</v>
      </c>
      <c r="G127" s="54"/>
    </row>
    <row r="128" spans="1:7" s="41" customFormat="1" x14ac:dyDescent="0.2">
      <c r="A128" s="69"/>
      <c r="B128" s="424">
        <v>126</v>
      </c>
      <c r="C128" s="427"/>
      <c r="D128" s="58">
        <f>126</f>
        <v>126</v>
      </c>
      <c r="E128" s="59"/>
      <c r="F128" s="40"/>
      <c r="G128" s="54"/>
    </row>
    <row r="129" spans="1:7" s="41" customFormat="1" x14ac:dyDescent="0.2">
      <c r="A129" s="428"/>
      <c r="B129" s="429"/>
      <c r="C129" s="429"/>
      <c r="D129" s="429"/>
      <c r="E129" s="430"/>
      <c r="F129" s="40"/>
      <c r="G129" s="54"/>
    </row>
    <row r="130" spans="1:7" s="41" customFormat="1" x14ac:dyDescent="0.2">
      <c r="A130" s="416" t="s">
        <v>181</v>
      </c>
      <c r="B130" s="426"/>
      <c r="C130" s="426"/>
      <c r="D130" s="68">
        <f>SUM(D131:D131)</f>
        <v>48.6</v>
      </c>
      <c r="E130" s="48" t="s">
        <v>55</v>
      </c>
      <c r="F130" s="40" t="s">
        <v>42</v>
      </c>
      <c r="G130" s="54"/>
    </row>
    <row r="131" spans="1:7" s="41" customFormat="1" x14ac:dyDescent="0.2">
      <c r="A131" s="69"/>
      <c r="B131" s="424">
        <v>48.6</v>
      </c>
      <c r="C131" s="427"/>
      <c r="D131" s="58">
        <f>48.6</f>
        <v>48.6</v>
      </c>
      <c r="E131" s="59"/>
      <c r="F131" s="40"/>
      <c r="G131" s="54"/>
    </row>
    <row r="132" spans="1:7" s="41" customFormat="1" x14ac:dyDescent="0.2">
      <c r="A132" s="428"/>
      <c r="B132" s="429"/>
      <c r="C132" s="429"/>
      <c r="D132" s="429"/>
      <c r="E132" s="430"/>
      <c r="F132" s="40"/>
      <c r="G132" s="54"/>
    </row>
    <row r="133" spans="1:7" s="41" customFormat="1" x14ac:dyDescent="0.2">
      <c r="A133" s="416" t="s">
        <v>177</v>
      </c>
      <c r="B133" s="426"/>
      <c r="C133" s="426"/>
      <c r="D133" s="68">
        <f>SUM(D134:D135)</f>
        <v>4.7550000000000008</v>
      </c>
      <c r="E133" s="48" t="s">
        <v>41</v>
      </c>
      <c r="F133" s="40" t="s">
        <v>42</v>
      </c>
      <c r="G133" s="54"/>
    </row>
    <row r="134" spans="1:7" s="41" customFormat="1" x14ac:dyDescent="0.2">
      <c r="A134" s="69" t="s">
        <v>184</v>
      </c>
      <c r="B134" s="424" t="s">
        <v>240</v>
      </c>
      <c r="C134" s="427"/>
      <c r="D134" s="58">
        <f>0.9*2.95</f>
        <v>2.6550000000000002</v>
      </c>
      <c r="E134" s="59"/>
      <c r="F134" s="40"/>
      <c r="G134" s="54"/>
    </row>
    <row r="135" spans="1:7" s="41" customFormat="1" x14ac:dyDescent="0.2">
      <c r="A135" s="133" t="s">
        <v>196</v>
      </c>
      <c r="B135" s="424" t="s">
        <v>241</v>
      </c>
      <c r="C135" s="425"/>
      <c r="D135" s="135">
        <f>1*2.1</f>
        <v>2.1</v>
      </c>
      <c r="E135" s="59"/>
      <c r="F135" s="40"/>
      <c r="G135" s="54"/>
    </row>
    <row r="136" spans="1:7" s="41" customFormat="1" x14ac:dyDescent="0.2">
      <c r="A136" s="428"/>
      <c r="B136" s="429"/>
      <c r="C136" s="429"/>
      <c r="D136" s="429"/>
      <c r="E136" s="430"/>
      <c r="F136" s="40"/>
      <c r="G136" s="54"/>
    </row>
    <row r="137" spans="1:7" s="41" customFormat="1" x14ac:dyDescent="0.2">
      <c r="A137" s="416" t="s">
        <v>189</v>
      </c>
      <c r="B137" s="426"/>
      <c r="C137" s="426"/>
      <c r="D137" s="68"/>
      <c r="E137" s="48" t="s">
        <v>41</v>
      </c>
      <c r="F137" s="40"/>
      <c r="G137" s="54"/>
    </row>
    <row r="138" spans="1:7" s="41" customFormat="1" x14ac:dyDescent="0.2">
      <c r="A138" s="69" t="s">
        <v>186</v>
      </c>
      <c r="B138" s="424" t="s">
        <v>242</v>
      </c>
      <c r="C138" s="427"/>
      <c r="D138" s="58">
        <f>(0.5*3.25)*7</f>
        <v>11.375</v>
      </c>
      <c r="E138" s="59"/>
      <c r="F138" s="40" t="s">
        <v>42</v>
      </c>
      <c r="G138" s="54"/>
    </row>
    <row r="139" spans="1:7" s="41" customFormat="1" x14ac:dyDescent="0.2">
      <c r="A139" s="133" t="s">
        <v>187</v>
      </c>
      <c r="B139" s="424" t="s">
        <v>243</v>
      </c>
      <c r="C139" s="425"/>
      <c r="D139" s="135">
        <f>(1*2)*7</f>
        <v>14</v>
      </c>
      <c r="E139" s="59"/>
      <c r="F139" s="40" t="s">
        <v>42</v>
      </c>
      <c r="G139" s="54"/>
    </row>
    <row r="140" spans="1:7" s="41" customFormat="1" x14ac:dyDescent="0.2">
      <c r="A140" s="428"/>
      <c r="B140" s="429"/>
      <c r="C140" s="429"/>
      <c r="D140" s="429"/>
      <c r="E140" s="430"/>
      <c r="F140" s="40"/>
      <c r="G140" s="54"/>
    </row>
    <row r="141" spans="1:7" s="41" customFormat="1" x14ac:dyDescent="0.2">
      <c r="A141" s="416" t="s">
        <v>182</v>
      </c>
      <c r="B141" s="426"/>
      <c r="C141" s="426"/>
      <c r="D141" s="68">
        <f>SUM(D142:D143)</f>
        <v>0.28500000000000003</v>
      </c>
      <c r="E141" s="48" t="s">
        <v>41</v>
      </c>
      <c r="F141" s="40" t="s">
        <v>42</v>
      </c>
      <c r="G141" s="54"/>
    </row>
    <row r="142" spans="1:7" s="41" customFormat="1" x14ac:dyDescent="0.2">
      <c r="A142" s="69" t="s">
        <v>184</v>
      </c>
      <c r="B142" s="424" t="s">
        <v>244</v>
      </c>
      <c r="C142" s="427"/>
      <c r="D142" s="58">
        <f>0.9*0.15</f>
        <v>0.13500000000000001</v>
      </c>
      <c r="E142" s="59"/>
      <c r="F142" s="40"/>
      <c r="G142" s="54"/>
    </row>
    <row r="143" spans="1:7" s="41" customFormat="1" x14ac:dyDescent="0.2">
      <c r="A143" s="69" t="s">
        <v>196</v>
      </c>
      <c r="B143" s="427" t="s">
        <v>245</v>
      </c>
      <c r="C143" s="427"/>
      <c r="D143" s="58">
        <f>1*0.15</f>
        <v>0.15</v>
      </c>
      <c r="E143" s="131"/>
      <c r="F143" s="40"/>
      <c r="G143" s="54"/>
    </row>
    <row r="144" spans="1:7" s="41" customFormat="1" x14ac:dyDescent="0.2">
      <c r="A144" s="428"/>
      <c r="B144" s="429"/>
      <c r="C144" s="429"/>
      <c r="D144" s="429"/>
      <c r="E144" s="430"/>
      <c r="F144" s="40"/>
      <c r="G144" s="54"/>
    </row>
    <row r="145" spans="1:7" s="41" customFormat="1" x14ac:dyDescent="0.2">
      <c r="A145" s="416" t="s">
        <v>185</v>
      </c>
      <c r="B145" s="426"/>
      <c r="C145" s="426"/>
      <c r="D145" s="68">
        <f>SUM(D146:D147)</f>
        <v>36.75</v>
      </c>
      <c r="E145" s="48" t="s">
        <v>55</v>
      </c>
      <c r="F145" s="40" t="s">
        <v>42</v>
      </c>
      <c r="G145" s="54"/>
    </row>
    <row r="146" spans="1:7" s="41" customFormat="1" x14ac:dyDescent="0.2">
      <c r="A146" s="69" t="s">
        <v>186</v>
      </c>
      <c r="B146" s="424" t="s">
        <v>247</v>
      </c>
      <c r="C146" s="427"/>
      <c r="D146" s="58">
        <f>3.25*7</f>
        <v>22.75</v>
      </c>
      <c r="E146" s="59"/>
      <c r="F146" s="40"/>
      <c r="G146" s="54"/>
    </row>
    <row r="147" spans="1:7" s="41" customFormat="1" x14ac:dyDescent="0.2">
      <c r="A147" s="133" t="s">
        <v>187</v>
      </c>
      <c r="B147" s="424" t="s">
        <v>246</v>
      </c>
      <c r="C147" s="425"/>
      <c r="D147" s="58">
        <f>2*7</f>
        <v>14</v>
      </c>
      <c r="E147" s="131"/>
      <c r="F147" s="40"/>
      <c r="G147" s="54"/>
    </row>
    <row r="148" spans="1:7" s="41" customFormat="1" x14ac:dyDescent="0.2">
      <c r="A148" s="428"/>
      <c r="B148" s="429"/>
      <c r="C148" s="429"/>
      <c r="D148" s="429"/>
      <c r="E148" s="430"/>
      <c r="F148" s="40"/>
    </row>
    <row r="149" spans="1:7" s="41" customFormat="1" x14ac:dyDescent="0.2">
      <c r="A149" s="416" t="s">
        <v>204</v>
      </c>
      <c r="B149" s="426"/>
      <c r="C149" s="426"/>
      <c r="D149" s="68">
        <f>SUM(D150:D150)</f>
        <v>131.30600000000001</v>
      </c>
      <c r="E149" s="48" t="s">
        <v>41</v>
      </c>
      <c r="F149" s="40" t="s">
        <v>42</v>
      </c>
    </row>
    <row r="150" spans="1:7" s="41" customFormat="1" x14ac:dyDescent="0.2">
      <c r="A150" s="69"/>
      <c r="B150" s="424" t="s">
        <v>248</v>
      </c>
      <c r="C150" s="427"/>
      <c r="D150" s="58">
        <f>7.91*16.6</f>
        <v>131.30600000000001</v>
      </c>
      <c r="E150" s="59"/>
      <c r="F150" s="40"/>
    </row>
    <row r="151" spans="1:7" s="41" customFormat="1" x14ac:dyDescent="0.2">
      <c r="A151" s="428"/>
      <c r="B151" s="429"/>
      <c r="C151" s="429"/>
      <c r="D151" s="429"/>
      <c r="E151" s="430"/>
      <c r="F151" s="40"/>
    </row>
    <row r="152" spans="1:7" s="41" customFormat="1" x14ac:dyDescent="0.2">
      <c r="A152" s="416" t="s">
        <v>121</v>
      </c>
      <c r="B152" s="426"/>
      <c r="C152" s="426"/>
      <c r="D152" s="68">
        <f>SUM(D153:D153)</f>
        <v>16.97</v>
      </c>
      <c r="E152" s="48" t="s">
        <v>55</v>
      </c>
      <c r="F152" s="40" t="s">
        <v>42</v>
      </c>
    </row>
    <row r="153" spans="1:7" s="41" customFormat="1" x14ac:dyDescent="0.2">
      <c r="A153" s="69"/>
      <c r="B153" s="424">
        <v>16.97</v>
      </c>
      <c r="C153" s="427"/>
      <c r="D153" s="58">
        <f>16.97</f>
        <v>16.97</v>
      </c>
      <c r="E153" s="59"/>
      <c r="F153" s="40"/>
    </row>
    <row r="154" spans="1:7" s="41" customFormat="1" x14ac:dyDescent="0.2">
      <c r="A154" s="428"/>
      <c r="B154" s="429"/>
      <c r="C154" s="429"/>
      <c r="D154" s="429"/>
      <c r="E154" s="430"/>
      <c r="F154" s="40"/>
    </row>
    <row r="155" spans="1:7" s="41" customFormat="1" x14ac:dyDescent="0.2">
      <c r="A155" s="416" t="s">
        <v>129</v>
      </c>
      <c r="B155" s="426"/>
      <c r="C155" s="426"/>
      <c r="D155" s="68">
        <f>SUM(D156:D156)</f>
        <v>32.549999999999997</v>
      </c>
      <c r="E155" s="48" t="s">
        <v>55</v>
      </c>
      <c r="F155" s="40" t="s">
        <v>42</v>
      </c>
    </row>
    <row r="156" spans="1:7" s="41" customFormat="1" x14ac:dyDescent="0.2">
      <c r="A156" s="69"/>
      <c r="B156" s="424" t="s">
        <v>249</v>
      </c>
      <c r="C156" s="427"/>
      <c r="D156" s="58">
        <f>7.5+7.75+17.3</f>
        <v>32.549999999999997</v>
      </c>
      <c r="E156" s="59"/>
      <c r="F156" s="40"/>
    </row>
    <row r="157" spans="1:7" s="41" customFormat="1" x14ac:dyDescent="0.2">
      <c r="A157" s="428"/>
      <c r="B157" s="429"/>
      <c r="C157" s="429"/>
      <c r="D157" s="429"/>
      <c r="E157" s="430"/>
      <c r="F157" s="40"/>
    </row>
    <row r="158" spans="1:7" s="41" customFormat="1" x14ac:dyDescent="0.2">
      <c r="A158" s="416" t="s">
        <v>180</v>
      </c>
      <c r="B158" s="426"/>
      <c r="C158" s="426"/>
      <c r="D158" s="68">
        <f>SUM(D159:D162)</f>
        <v>487.29</v>
      </c>
      <c r="E158" s="48" t="s">
        <v>41</v>
      </c>
      <c r="F158" s="40" t="s">
        <v>42</v>
      </c>
    </row>
    <row r="159" spans="1:7" s="41" customFormat="1" x14ac:dyDescent="0.2">
      <c r="A159" s="63" t="s">
        <v>203</v>
      </c>
      <c r="B159" s="413" t="s">
        <v>251</v>
      </c>
      <c r="C159" s="438"/>
      <c r="D159" s="71">
        <f>((34.35*3.25) - ((0.5*3.25*7) + (1*2*7) + (0.9*2.95) + (1*2.1)))*2</f>
        <v>163.01499999999999</v>
      </c>
      <c r="E159" s="72"/>
      <c r="F159" s="40"/>
    </row>
    <row r="160" spans="1:7" s="41" customFormat="1" x14ac:dyDescent="0.2">
      <c r="A160" s="138" t="s">
        <v>94</v>
      </c>
      <c r="B160" s="413" t="s">
        <v>252</v>
      </c>
      <c r="C160" s="414"/>
      <c r="D160" s="71">
        <f>1*5.12*3</f>
        <v>15.36</v>
      </c>
      <c r="E160" s="113"/>
      <c r="F160" s="40"/>
    </row>
    <row r="161" spans="1:6" s="41" customFormat="1" x14ac:dyDescent="0.2">
      <c r="A161" s="132" t="s">
        <v>99</v>
      </c>
      <c r="B161" s="413" t="s">
        <v>250</v>
      </c>
      <c r="C161" s="415"/>
      <c r="D161" s="67">
        <f>(51.4*0.55*2) + (0.15*51.4)</f>
        <v>64.25</v>
      </c>
      <c r="E161" s="113"/>
      <c r="F161" s="40"/>
    </row>
    <row r="162" spans="1:6" s="41" customFormat="1" x14ac:dyDescent="0.2">
      <c r="A162" s="132" t="s">
        <v>179</v>
      </c>
      <c r="B162" s="413" t="s">
        <v>253</v>
      </c>
      <c r="C162" s="415"/>
      <c r="D162" s="67">
        <f>126 + (1.35*5*7.5) + (1.35*3*16.8)</f>
        <v>244.66500000000002</v>
      </c>
      <c r="E162" s="113"/>
      <c r="F162" s="40"/>
    </row>
    <row r="163" spans="1:6" s="41" customFormat="1" x14ac:dyDescent="0.2">
      <c r="A163" s="435"/>
      <c r="B163" s="436"/>
      <c r="C163" s="436"/>
      <c r="D163" s="436"/>
      <c r="E163" s="437"/>
      <c r="F163" s="40"/>
    </row>
    <row r="164" spans="1:6" s="41" customFormat="1" ht="14.25" customHeight="1" x14ac:dyDescent="0.2">
      <c r="A164" s="416" t="s">
        <v>190</v>
      </c>
      <c r="B164" s="426"/>
      <c r="C164" s="426"/>
      <c r="D164" s="68">
        <f>SUM(D165:D166)</f>
        <v>227.26499999999999</v>
      </c>
      <c r="E164" s="48" t="s">
        <v>41</v>
      </c>
      <c r="F164" s="40" t="s">
        <v>42</v>
      </c>
    </row>
    <row r="165" spans="1:6" s="41" customFormat="1" x14ac:dyDescent="0.2">
      <c r="A165" s="63" t="s">
        <v>203</v>
      </c>
      <c r="B165" s="413" t="s">
        <v>251</v>
      </c>
      <c r="C165" s="438"/>
      <c r="D165" s="71">
        <f>((34.35*3.25) - ((0.5*3.25*7) + (1*2*7) + (0.9*2.95) + (1*2.1)))*2</f>
        <v>163.01499999999999</v>
      </c>
      <c r="E165" s="72"/>
      <c r="F165" s="40"/>
    </row>
    <row r="166" spans="1:6" s="41" customFormat="1" x14ac:dyDescent="0.2">
      <c r="A166" s="132" t="s">
        <v>99</v>
      </c>
      <c r="B166" s="413" t="s">
        <v>250</v>
      </c>
      <c r="C166" s="415"/>
      <c r="D166" s="67">
        <f>(51.4*0.55*2) + (0.15*51.4)</f>
        <v>64.25</v>
      </c>
      <c r="E166" s="113"/>
      <c r="F166" s="40"/>
    </row>
    <row r="167" spans="1:6" x14ac:dyDescent="0.25">
      <c r="A167" s="435"/>
      <c r="B167" s="436"/>
      <c r="C167" s="436"/>
      <c r="D167" s="436"/>
      <c r="E167" s="437"/>
    </row>
    <row r="168" spans="1:6" x14ac:dyDescent="0.25">
      <c r="A168" s="416" t="s">
        <v>101</v>
      </c>
      <c r="B168" s="426"/>
      <c r="C168" s="426"/>
      <c r="D168" s="68">
        <f>SUM(D169:D169)</f>
        <v>304.8</v>
      </c>
      <c r="E168" s="48" t="s">
        <v>41</v>
      </c>
      <c r="F168" s="37" t="s">
        <v>42</v>
      </c>
    </row>
    <row r="169" spans="1:6" x14ac:dyDescent="0.25">
      <c r="A169" s="69"/>
      <c r="B169" s="424" t="s">
        <v>257</v>
      </c>
      <c r="C169" s="427"/>
      <c r="D169" s="58">
        <f>15.24*20</f>
        <v>304.8</v>
      </c>
      <c r="E169" s="59"/>
    </row>
    <row r="170" spans="1:6" x14ac:dyDescent="0.25">
      <c r="A170" s="428"/>
      <c r="B170" s="429"/>
      <c r="C170" s="429"/>
      <c r="D170" s="429"/>
      <c r="E170" s="430"/>
    </row>
    <row r="171" spans="1:6" x14ac:dyDescent="0.25">
      <c r="A171" s="416" t="s">
        <v>113</v>
      </c>
      <c r="B171" s="426"/>
      <c r="C171" s="426"/>
      <c r="D171" s="68">
        <f>SUM(D172:D173)</f>
        <v>60.774000000000008</v>
      </c>
      <c r="E171" s="48" t="s">
        <v>45</v>
      </c>
      <c r="F171" s="37" t="s">
        <v>42</v>
      </c>
    </row>
    <row r="172" spans="1:6" x14ac:dyDescent="0.25">
      <c r="A172" s="52" t="s">
        <v>258</v>
      </c>
      <c r="B172" s="424" t="s">
        <v>256</v>
      </c>
      <c r="C172" s="427"/>
      <c r="D172" s="58">
        <f>1.6*20.5</f>
        <v>32.800000000000004</v>
      </c>
      <c r="E172" s="59"/>
    </row>
    <row r="173" spans="1:6" x14ac:dyDescent="0.25">
      <c r="A173" s="52" t="s">
        <v>259</v>
      </c>
      <c r="B173" s="427" t="s">
        <v>260</v>
      </c>
      <c r="C173" s="427"/>
      <c r="D173" s="135">
        <f>279.74*0.1</f>
        <v>27.974000000000004</v>
      </c>
      <c r="E173" s="59"/>
    </row>
    <row r="174" spans="1:6" x14ac:dyDescent="0.25">
      <c r="A174" s="428"/>
      <c r="B174" s="429"/>
      <c r="C174" s="429"/>
      <c r="D174" s="429"/>
      <c r="E174" s="430"/>
    </row>
    <row r="175" spans="1:6" x14ac:dyDescent="0.25">
      <c r="A175" s="416" t="s">
        <v>261</v>
      </c>
      <c r="B175" s="426"/>
      <c r="C175" s="426"/>
      <c r="D175" s="68">
        <f>SUM(D176:D176)</f>
        <v>4.0599999999999996</v>
      </c>
      <c r="E175" s="48" t="s">
        <v>55</v>
      </c>
      <c r="F175" s="37" t="s">
        <v>42</v>
      </c>
    </row>
    <row r="176" spans="1:6" x14ac:dyDescent="0.25">
      <c r="A176" s="52" t="s">
        <v>226</v>
      </c>
      <c r="B176" s="424">
        <v>4.0599999999999996</v>
      </c>
      <c r="C176" s="427"/>
      <c r="D176" s="58">
        <v>4.0599999999999996</v>
      </c>
      <c r="E176" s="59"/>
    </row>
    <row r="177" spans="1:6" x14ac:dyDescent="0.25">
      <c r="A177" s="428"/>
      <c r="B177" s="429"/>
      <c r="C177" s="429"/>
      <c r="D177" s="429"/>
      <c r="E177" s="430"/>
      <c r="F177" s="38"/>
    </row>
    <row r="178" spans="1:6" x14ac:dyDescent="0.25">
      <c r="A178" s="416" t="s">
        <v>318</v>
      </c>
      <c r="B178" s="426"/>
      <c r="C178" s="426"/>
      <c r="D178" s="68">
        <f>SUM(D179:D179)</f>
        <v>279.74</v>
      </c>
      <c r="E178" s="48" t="s">
        <v>41</v>
      </c>
      <c r="F178" s="37" t="s">
        <v>42</v>
      </c>
    </row>
    <row r="179" spans="1:6" x14ac:dyDescent="0.25">
      <c r="A179" s="69"/>
      <c r="B179" s="424">
        <v>279.74</v>
      </c>
      <c r="C179" s="427"/>
      <c r="D179" s="58">
        <f>279.74</f>
        <v>279.74</v>
      </c>
      <c r="E179" s="59"/>
    </row>
    <row r="180" spans="1:6" x14ac:dyDescent="0.25">
      <c r="A180" s="428"/>
      <c r="B180" s="429"/>
      <c r="C180" s="429"/>
      <c r="D180" s="429"/>
      <c r="E180" s="430"/>
    </row>
    <row r="181" spans="1:6" x14ac:dyDescent="0.25">
      <c r="A181" s="416" t="s">
        <v>800</v>
      </c>
      <c r="B181" s="426"/>
      <c r="C181" s="426"/>
      <c r="D181" s="68">
        <f>SUM(D182:D182)</f>
        <v>97</v>
      </c>
      <c r="E181" s="48" t="s">
        <v>55</v>
      </c>
    </row>
    <row r="182" spans="1:6" x14ac:dyDescent="0.25">
      <c r="A182" s="69"/>
      <c r="B182" s="424" t="s">
        <v>801</v>
      </c>
      <c r="C182" s="427"/>
      <c r="D182" s="58">
        <f>(7*11) + (4*5)</f>
        <v>97</v>
      </c>
      <c r="E182" s="59"/>
    </row>
    <row r="183" spans="1:6" x14ac:dyDescent="0.25">
      <c r="A183" s="428"/>
      <c r="B183" s="429"/>
      <c r="C183" s="429"/>
      <c r="D183" s="429"/>
      <c r="E183" s="430"/>
    </row>
    <row r="184" spans="1:6" x14ac:dyDescent="0.25">
      <c r="A184" s="416" t="s">
        <v>842</v>
      </c>
      <c r="B184" s="426"/>
      <c r="C184" s="426"/>
      <c r="D184" s="68">
        <f>SUM(D185:D185)</f>
        <v>63.18356</v>
      </c>
      <c r="E184" s="48" t="s">
        <v>41</v>
      </c>
    </row>
    <row r="185" spans="1:6" x14ac:dyDescent="0.25">
      <c r="A185" s="69"/>
      <c r="B185" s="424" t="s">
        <v>843</v>
      </c>
      <c r="C185" s="427"/>
      <c r="D185" s="58">
        <f>(7.22+7.5+2.27+16.798)*1.87</f>
        <v>63.18356</v>
      </c>
      <c r="E185" s="59"/>
    </row>
    <row r="186" spans="1:6" x14ac:dyDescent="0.25">
      <c r="A186" s="428"/>
      <c r="B186" s="429"/>
      <c r="C186" s="429"/>
      <c r="D186" s="429"/>
      <c r="E186" s="430"/>
    </row>
  </sheetData>
  <mergeCells count="187">
    <mergeCell ref="A181:C181"/>
    <mergeCell ref="B182:C182"/>
    <mergeCell ref="A183:E183"/>
    <mergeCell ref="B108:C108"/>
    <mergeCell ref="B79:C79"/>
    <mergeCell ref="B80:C80"/>
    <mergeCell ref="B81:C81"/>
    <mergeCell ref="B82:C82"/>
    <mergeCell ref="B105:C105"/>
    <mergeCell ref="B111:C111"/>
    <mergeCell ref="B115:C115"/>
    <mergeCell ref="B150:C150"/>
    <mergeCell ref="A174:E174"/>
    <mergeCell ref="B173:C173"/>
    <mergeCell ref="A175:C175"/>
    <mergeCell ref="B161:C161"/>
    <mergeCell ref="B162:C162"/>
    <mergeCell ref="A163:E163"/>
    <mergeCell ref="B165:C165"/>
    <mergeCell ref="A144:E144"/>
    <mergeCell ref="A145:C145"/>
    <mergeCell ref="B146:C146"/>
    <mergeCell ref="B147:C147"/>
    <mergeCell ref="A148:E148"/>
    <mergeCell ref="B109:C109"/>
    <mergeCell ref="A130:C130"/>
    <mergeCell ref="B131:C131"/>
    <mergeCell ref="A64:C64"/>
    <mergeCell ref="B71:C71"/>
    <mergeCell ref="B69:C69"/>
    <mergeCell ref="B68:C68"/>
    <mergeCell ref="B66:C66"/>
    <mergeCell ref="B62:C62"/>
    <mergeCell ref="A63:E63"/>
    <mergeCell ref="B107:C107"/>
    <mergeCell ref="B72:C72"/>
    <mergeCell ref="B67:C67"/>
    <mergeCell ref="B73:C73"/>
    <mergeCell ref="B74:C74"/>
    <mergeCell ref="B75:C75"/>
    <mergeCell ref="B176:C176"/>
    <mergeCell ref="A177:E177"/>
    <mergeCell ref="B160:C160"/>
    <mergeCell ref="A168:C168"/>
    <mergeCell ref="B169:C169"/>
    <mergeCell ref="A170:E170"/>
    <mergeCell ref="A171:C171"/>
    <mergeCell ref="B172:C172"/>
    <mergeCell ref="A167:E167"/>
    <mergeCell ref="B166:C166"/>
    <mergeCell ref="A158:C158"/>
    <mergeCell ref="B159:C159"/>
    <mergeCell ref="A151:E151"/>
    <mergeCell ref="A152:C152"/>
    <mergeCell ref="B153:C153"/>
    <mergeCell ref="A132:E132"/>
    <mergeCell ref="A133:C133"/>
    <mergeCell ref="B134:C134"/>
    <mergeCell ref="A164:C164"/>
    <mergeCell ref="A149:C149"/>
    <mergeCell ref="A141:C141"/>
    <mergeCell ref="A154:E154"/>
    <mergeCell ref="A155:C155"/>
    <mergeCell ref="B156:C156"/>
    <mergeCell ref="A157:E157"/>
    <mergeCell ref="B142:C142"/>
    <mergeCell ref="B143:C143"/>
    <mergeCell ref="A5:C5"/>
    <mergeCell ref="B13:C13"/>
    <mergeCell ref="B98:C98"/>
    <mergeCell ref="B99:C99"/>
    <mergeCell ref="B100:C100"/>
    <mergeCell ref="B101:C101"/>
    <mergeCell ref="A95:E95"/>
    <mergeCell ref="A96:C96"/>
    <mergeCell ref="B97:C97"/>
    <mergeCell ref="B87:C87"/>
    <mergeCell ref="B59:C59"/>
    <mergeCell ref="A49:C49"/>
    <mergeCell ref="B36:C36"/>
    <mergeCell ref="B42:C42"/>
    <mergeCell ref="B94:C94"/>
    <mergeCell ref="B91:C91"/>
    <mergeCell ref="A92:E92"/>
    <mergeCell ref="B15:C15"/>
    <mergeCell ref="B61:C61"/>
    <mergeCell ref="A28:C28"/>
    <mergeCell ref="B88:C88"/>
    <mergeCell ref="B70:C70"/>
    <mergeCell ref="B76:C76"/>
    <mergeCell ref="A77:E77"/>
    <mergeCell ref="A24:C24"/>
    <mergeCell ref="B25:C25"/>
    <mergeCell ref="B8:C8"/>
    <mergeCell ref="B12:C12"/>
    <mergeCell ref="B22:C22"/>
    <mergeCell ref="B14:C14"/>
    <mergeCell ref="B19:C19"/>
    <mergeCell ref="B20:C20"/>
    <mergeCell ref="A126:E126"/>
    <mergeCell ref="B125:C125"/>
    <mergeCell ref="B112:C112"/>
    <mergeCell ref="B26:C26"/>
    <mergeCell ref="A102:E102"/>
    <mergeCell ref="A103:C103"/>
    <mergeCell ref="B106:C106"/>
    <mergeCell ref="B110:C110"/>
    <mergeCell ref="B116:C116"/>
    <mergeCell ref="A117:E117"/>
    <mergeCell ref="A118:C118"/>
    <mergeCell ref="B119:C119"/>
    <mergeCell ref="B120:C120"/>
    <mergeCell ref="B121:C121"/>
    <mergeCell ref="A122:E122"/>
    <mergeCell ref="B113:C113"/>
    <mergeCell ref="B38:C38"/>
    <mergeCell ref="A46:C46"/>
    <mergeCell ref="B47:C47"/>
    <mergeCell ref="A48:E48"/>
    <mergeCell ref="B34:C34"/>
    <mergeCell ref="B40:C40"/>
    <mergeCell ref="B52:C52"/>
    <mergeCell ref="B57:C57"/>
    <mergeCell ref="D1:E1"/>
    <mergeCell ref="A2:B2"/>
    <mergeCell ref="D2:E2"/>
    <mergeCell ref="A3:E3"/>
    <mergeCell ref="A4:C4"/>
    <mergeCell ref="A27:E27"/>
    <mergeCell ref="A6:C6"/>
    <mergeCell ref="B7:C7"/>
    <mergeCell ref="A9:E9"/>
    <mergeCell ref="A10:C10"/>
    <mergeCell ref="B11:C11"/>
    <mergeCell ref="A16:E16"/>
    <mergeCell ref="B21:C21"/>
    <mergeCell ref="A17:C17"/>
    <mergeCell ref="B18:C18"/>
    <mergeCell ref="A23:E23"/>
    <mergeCell ref="B29:C29"/>
    <mergeCell ref="A30:E30"/>
    <mergeCell ref="A31:C31"/>
    <mergeCell ref="B41:C41"/>
    <mergeCell ref="B58:C58"/>
    <mergeCell ref="B65:C65"/>
    <mergeCell ref="A83:E83"/>
    <mergeCell ref="A93:C93"/>
    <mergeCell ref="B50:C50"/>
    <mergeCell ref="B43:C43"/>
    <mergeCell ref="A45:E45"/>
    <mergeCell ref="B51:C51"/>
    <mergeCell ref="B55:C55"/>
    <mergeCell ref="B60:C60"/>
    <mergeCell ref="B53:C53"/>
    <mergeCell ref="B54:C54"/>
    <mergeCell ref="B56:C56"/>
    <mergeCell ref="B44:C44"/>
    <mergeCell ref="A78:C78"/>
    <mergeCell ref="B32:C32"/>
    <mergeCell ref="B39:C39"/>
    <mergeCell ref="B33:C33"/>
    <mergeCell ref="B35:C35"/>
    <mergeCell ref="B37:C37"/>
    <mergeCell ref="A184:C184"/>
    <mergeCell ref="B185:C185"/>
    <mergeCell ref="A186:E186"/>
    <mergeCell ref="A178:C178"/>
    <mergeCell ref="B179:C179"/>
    <mergeCell ref="A180:E180"/>
    <mergeCell ref="A84:C84"/>
    <mergeCell ref="B85:C85"/>
    <mergeCell ref="A89:E89"/>
    <mergeCell ref="A90:C90"/>
    <mergeCell ref="B86:C86"/>
    <mergeCell ref="B104:C104"/>
    <mergeCell ref="B135:C135"/>
    <mergeCell ref="A136:E136"/>
    <mergeCell ref="A137:C137"/>
    <mergeCell ref="B139:C139"/>
    <mergeCell ref="A140:E140"/>
    <mergeCell ref="A129:E129"/>
    <mergeCell ref="A127:C127"/>
    <mergeCell ref="B128:C128"/>
    <mergeCell ref="B114:C114"/>
    <mergeCell ref="A123:C123"/>
    <mergeCell ref="B124:C124"/>
    <mergeCell ref="B138:C138"/>
  </mergeCells>
  <printOptions horizontalCentered="1"/>
  <pageMargins left="0.98425196850393704" right="0.98425196850393704" top="0.98425196850393704" bottom="0.98425196850393704" header="0.31496062992125984" footer="0.31496062992125984"/>
  <pageSetup paperSize="9" scale="75" orientation="portrait" verticalDpi="200" r:id="rId1"/>
  <headerFooter>
    <oddHeader>&amp;L&amp;G&amp;R&amp;G</oddHead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3E561F-7EC7-4BFD-A46F-4EF33577BA36}">
  <sheetPr codeName="Planilha13"/>
  <dimension ref="A1:H122"/>
  <sheetViews>
    <sheetView view="pageBreakPreview" zoomScaleSheetLayoutView="100" workbookViewId="0"/>
  </sheetViews>
  <sheetFormatPr defaultRowHeight="15" x14ac:dyDescent="0.25"/>
  <cols>
    <col min="1" max="1" width="17.140625" style="73" customWidth="1"/>
    <col min="2" max="2" width="28.28515625" style="38" customWidth="1"/>
    <col min="3" max="3" width="43.140625" style="38" customWidth="1"/>
    <col min="4" max="4" width="10.7109375" style="38" customWidth="1"/>
    <col min="5" max="5" width="7.7109375" style="38" customWidth="1"/>
    <col min="6" max="6" width="3.7109375" style="37" bestFit="1" customWidth="1"/>
    <col min="7" max="16384" width="9.140625" style="38"/>
  </cols>
  <sheetData>
    <row r="1" spans="1:7" x14ac:dyDescent="0.25">
      <c r="A1" s="145" t="s">
        <v>35</v>
      </c>
      <c r="B1" s="35"/>
      <c r="C1" s="36" t="s">
        <v>36</v>
      </c>
      <c r="D1" s="441" t="s">
        <v>37</v>
      </c>
      <c r="E1" s="442"/>
    </row>
    <row r="2" spans="1:7" s="39" customFormat="1" ht="24.75" customHeight="1" x14ac:dyDescent="0.2">
      <c r="A2" s="443" t="s">
        <v>57</v>
      </c>
      <c r="B2" s="444"/>
      <c r="C2" s="146" t="s">
        <v>267</v>
      </c>
      <c r="D2" s="445">
        <v>44424</v>
      </c>
      <c r="E2" s="446"/>
      <c r="F2" s="37"/>
    </row>
    <row r="3" spans="1:7" s="41" customFormat="1" x14ac:dyDescent="0.2">
      <c r="A3" s="410"/>
      <c r="B3" s="411"/>
      <c r="C3" s="411"/>
      <c r="D3" s="447"/>
      <c r="E3" s="448"/>
      <c r="F3" s="40"/>
    </row>
    <row r="4" spans="1:7" s="45" customFormat="1" ht="18" customHeight="1" x14ac:dyDescent="0.2">
      <c r="A4" s="449" t="s">
        <v>38</v>
      </c>
      <c r="B4" s="450"/>
      <c r="C4" s="450"/>
      <c r="D4" s="42" t="s">
        <v>39</v>
      </c>
      <c r="E4" s="43" t="s">
        <v>34</v>
      </c>
      <c r="F4" s="44"/>
    </row>
    <row r="5" spans="1:7" s="47" customFormat="1" ht="12.75" x14ac:dyDescent="0.2">
      <c r="A5" s="451"/>
      <c r="B5" s="452"/>
      <c r="C5" s="452"/>
      <c r="D5" s="74"/>
      <c r="E5" s="46"/>
      <c r="F5" s="40"/>
    </row>
    <row r="6" spans="1:7" s="51" customFormat="1" ht="16.5" customHeight="1" x14ac:dyDescent="0.2">
      <c r="A6" s="416" t="s">
        <v>40</v>
      </c>
      <c r="B6" s="417"/>
      <c r="C6" s="417"/>
      <c r="D6" s="75">
        <f>SUM(D7:D7)</f>
        <v>83.46</v>
      </c>
      <c r="E6" s="48" t="s">
        <v>41</v>
      </c>
      <c r="F6" s="49" t="s">
        <v>42</v>
      </c>
      <c r="G6" s="50" t="s">
        <v>43</v>
      </c>
    </row>
    <row r="7" spans="1:7" s="41" customFormat="1" ht="15.75" customHeight="1" x14ac:dyDescent="0.2">
      <c r="A7" s="52"/>
      <c r="B7" s="420">
        <v>83.46</v>
      </c>
      <c r="C7" s="421"/>
      <c r="D7" s="53">
        <f>83.46</f>
        <v>83.46</v>
      </c>
      <c r="E7" s="46"/>
      <c r="F7" s="40"/>
      <c r="G7" s="54"/>
    </row>
    <row r="8" spans="1:7" s="41" customFormat="1" ht="15.75" customHeight="1" x14ac:dyDescent="0.2">
      <c r="A8" s="410"/>
      <c r="B8" s="411"/>
      <c r="C8" s="411"/>
      <c r="D8" s="411"/>
      <c r="E8" s="412"/>
      <c r="F8" s="40"/>
    </row>
    <row r="9" spans="1:7" s="51" customFormat="1" ht="16.5" customHeight="1" x14ac:dyDescent="0.2">
      <c r="A9" s="439" t="s">
        <v>44</v>
      </c>
      <c r="B9" s="440"/>
      <c r="C9" s="440"/>
      <c r="D9" s="76">
        <f>SUM(D10:D11)*1.05</f>
        <v>84.816584999999989</v>
      </c>
      <c r="E9" s="48" t="s">
        <v>45</v>
      </c>
      <c r="F9" s="49" t="s">
        <v>42</v>
      </c>
      <c r="G9" s="50" t="s">
        <v>43</v>
      </c>
    </row>
    <row r="10" spans="1:7" s="41" customFormat="1" ht="15" customHeight="1" x14ac:dyDescent="0.2">
      <c r="A10" s="106" t="s">
        <v>172</v>
      </c>
      <c r="B10" s="453" t="s">
        <v>714</v>
      </c>
      <c r="C10" s="454"/>
      <c r="D10" s="55">
        <f>(0.41*41) + (76.44*0.83)</f>
        <v>80.255199999999988</v>
      </c>
      <c r="E10" s="46"/>
      <c r="F10" s="40"/>
      <c r="G10" s="54"/>
    </row>
    <row r="11" spans="1:7" s="41" customFormat="1" ht="26.25" customHeight="1" x14ac:dyDescent="0.2">
      <c r="A11" s="144" t="s">
        <v>268</v>
      </c>
      <c r="B11" s="453" t="s">
        <v>715</v>
      </c>
      <c r="C11" s="458"/>
      <c r="D11" s="105">
        <f>(0.475*0.42) + (1.9*0.17)</f>
        <v>0.52249999999999996</v>
      </c>
      <c r="E11" s="46"/>
      <c r="F11" s="40"/>
      <c r="G11" s="54"/>
    </row>
    <row r="12" spans="1:7" s="41" customFormat="1" ht="15.75" customHeight="1" x14ac:dyDescent="0.2">
      <c r="A12" s="410"/>
      <c r="B12" s="411"/>
      <c r="C12" s="411"/>
      <c r="D12" s="411"/>
      <c r="E12" s="412"/>
      <c r="F12" s="40"/>
    </row>
    <row r="13" spans="1:7" s="51" customFormat="1" ht="16.5" customHeight="1" x14ac:dyDescent="0.2">
      <c r="A13" s="439" t="s">
        <v>46</v>
      </c>
      <c r="B13" s="440"/>
      <c r="C13" s="440"/>
      <c r="D13" s="76">
        <f>SUM(D14:D15)</f>
        <v>45.702199999999998</v>
      </c>
      <c r="E13" s="48" t="s">
        <v>45</v>
      </c>
      <c r="F13" s="49" t="s">
        <v>42</v>
      </c>
      <c r="G13" s="57"/>
    </row>
    <row r="14" spans="1:7" s="41" customFormat="1" ht="15" customHeight="1" x14ac:dyDescent="0.2">
      <c r="A14" s="106" t="s">
        <v>172</v>
      </c>
      <c r="B14" s="413" t="s">
        <v>717</v>
      </c>
      <c r="C14" s="415"/>
      <c r="D14" s="55">
        <f>(0.41*41) + (66.44*0.43)</f>
        <v>45.379199999999997</v>
      </c>
      <c r="E14" s="46"/>
      <c r="F14" s="40"/>
      <c r="G14" s="54"/>
    </row>
    <row r="15" spans="1:7" s="41" customFormat="1" ht="15" customHeight="1" x14ac:dyDescent="0.2">
      <c r="A15" s="144" t="s">
        <v>268</v>
      </c>
      <c r="B15" s="453" t="s">
        <v>716</v>
      </c>
      <c r="C15" s="458"/>
      <c r="D15" s="105">
        <f>(1.9*0.17)</f>
        <v>0.32300000000000001</v>
      </c>
      <c r="E15" s="46"/>
      <c r="F15" s="40"/>
      <c r="G15" s="54"/>
    </row>
    <row r="16" spans="1:7" s="41" customFormat="1" ht="15.75" customHeight="1" x14ac:dyDescent="0.2">
      <c r="A16" s="410"/>
      <c r="B16" s="411"/>
      <c r="C16" s="411"/>
      <c r="D16" s="411"/>
      <c r="E16" s="412"/>
      <c r="F16" s="40"/>
    </row>
    <row r="17" spans="1:8" s="51" customFormat="1" ht="16.5" customHeight="1" x14ac:dyDescent="0.2">
      <c r="A17" s="439" t="s">
        <v>47</v>
      </c>
      <c r="B17" s="440"/>
      <c r="C17" s="440"/>
      <c r="D17" s="75">
        <f>SUM(D18:D18)</f>
        <v>83.46</v>
      </c>
      <c r="E17" s="48" t="s">
        <v>41</v>
      </c>
      <c r="F17" s="49" t="s">
        <v>42</v>
      </c>
    </row>
    <row r="18" spans="1:8" s="41" customFormat="1" x14ac:dyDescent="0.2">
      <c r="A18" s="52"/>
      <c r="B18" s="420">
        <v>83.46</v>
      </c>
      <c r="C18" s="421"/>
      <c r="D18" s="53">
        <f>83.46</f>
        <v>83.46</v>
      </c>
      <c r="E18" s="46"/>
      <c r="F18" s="40"/>
      <c r="G18" s="54"/>
    </row>
    <row r="19" spans="1:8" s="41" customFormat="1" ht="15.75" customHeight="1" x14ac:dyDescent="0.2">
      <c r="A19" s="410"/>
      <c r="B19" s="411"/>
      <c r="C19" s="411"/>
      <c r="D19" s="411"/>
      <c r="E19" s="412"/>
      <c r="F19" s="40"/>
    </row>
    <row r="20" spans="1:8" s="51" customFormat="1" ht="16.5" customHeight="1" x14ac:dyDescent="0.2">
      <c r="A20" s="416" t="s">
        <v>48</v>
      </c>
      <c r="B20" s="417"/>
      <c r="C20" s="417"/>
      <c r="D20" s="75">
        <f>SUM(D21:D21)</f>
        <v>50.855999999999987</v>
      </c>
      <c r="E20" s="48" t="s">
        <v>45</v>
      </c>
      <c r="F20" s="49" t="s">
        <v>42</v>
      </c>
    </row>
    <row r="21" spans="1:8" s="41" customFormat="1" ht="15" customHeight="1" x14ac:dyDescent="0.2">
      <c r="A21" s="106"/>
      <c r="B21" s="413" t="s">
        <v>718</v>
      </c>
      <c r="C21" s="415"/>
      <c r="D21" s="58">
        <f>(84.82-45.7)*1.3</f>
        <v>50.855999999999987</v>
      </c>
      <c r="E21" s="59"/>
      <c r="F21" s="40"/>
    </row>
    <row r="22" spans="1:8" s="41" customFormat="1" ht="15.75" customHeight="1" x14ac:dyDescent="0.2">
      <c r="A22" s="410"/>
      <c r="B22" s="411"/>
      <c r="C22" s="411"/>
      <c r="D22" s="411"/>
      <c r="E22" s="412"/>
      <c r="F22" s="40"/>
    </row>
    <row r="23" spans="1:8" s="51" customFormat="1" ht="16.5" customHeight="1" x14ac:dyDescent="0.2">
      <c r="A23" s="439" t="s">
        <v>49</v>
      </c>
      <c r="B23" s="440"/>
      <c r="C23" s="440"/>
      <c r="D23" s="76">
        <f>SUM(D24:D29)</f>
        <v>208.76900000000001</v>
      </c>
      <c r="E23" s="48" t="s">
        <v>41</v>
      </c>
      <c r="F23" s="49" t="s">
        <v>42</v>
      </c>
      <c r="G23" s="111"/>
      <c r="H23" s="110"/>
    </row>
    <row r="24" spans="1:8" s="41" customFormat="1" ht="15" customHeight="1" x14ac:dyDescent="0.2">
      <c r="A24" s="52" t="s">
        <v>87</v>
      </c>
      <c r="B24" s="420" t="s">
        <v>720</v>
      </c>
      <c r="C24" s="421"/>
      <c r="D24" s="53">
        <f>(16.3*4.4) + (0.45*2*4.9) + (0.3*39) + (0.45*15.6*2)</f>
        <v>101.87</v>
      </c>
      <c r="E24" s="46"/>
      <c r="F24" s="40"/>
      <c r="G24" s="109"/>
      <c r="H24" s="108"/>
    </row>
    <row r="25" spans="1:8" s="41" customFormat="1" ht="15" customHeight="1" x14ac:dyDescent="0.2">
      <c r="A25" s="52" t="s">
        <v>94</v>
      </c>
      <c r="B25" s="413" t="s">
        <v>698</v>
      </c>
      <c r="C25" s="414"/>
      <c r="D25" s="53">
        <f>(1*4.1*8)</f>
        <v>32.799999999999997</v>
      </c>
      <c r="E25" s="46"/>
      <c r="F25" s="40"/>
      <c r="G25" s="109"/>
      <c r="H25" s="108"/>
    </row>
    <row r="26" spans="1:8" s="41" customFormat="1" ht="15" customHeight="1" x14ac:dyDescent="0.2">
      <c r="A26" s="104" t="s">
        <v>272</v>
      </c>
      <c r="B26" s="413" t="s">
        <v>719</v>
      </c>
      <c r="C26" s="414"/>
      <c r="D26" s="119">
        <f>(0.45*2*4.8)</f>
        <v>4.32</v>
      </c>
      <c r="E26" s="46"/>
      <c r="F26" s="40"/>
      <c r="G26" s="109"/>
      <c r="H26" s="108"/>
    </row>
    <row r="27" spans="1:8" s="41" customFormat="1" ht="15" customHeight="1" x14ac:dyDescent="0.2">
      <c r="A27" s="104" t="s">
        <v>750</v>
      </c>
      <c r="B27" s="413" t="s">
        <v>812</v>
      </c>
      <c r="C27" s="414"/>
      <c r="D27" s="119">
        <f>(1.45*4.05) + (1.05*4.4) + (1.05*4.05) + (1.45*13.72) + (1.25*14.6) + (1.15*4.4)</f>
        <v>57.949000000000005</v>
      </c>
      <c r="E27" s="46"/>
      <c r="F27" s="40"/>
      <c r="G27" s="109"/>
      <c r="H27" s="108"/>
    </row>
    <row r="28" spans="1:8" s="41" customFormat="1" ht="15" customHeight="1" x14ac:dyDescent="0.2">
      <c r="A28" s="52" t="s">
        <v>772</v>
      </c>
      <c r="B28" s="413" t="s">
        <v>786</v>
      </c>
      <c r="C28" s="414"/>
      <c r="D28" s="53">
        <f>(2.4*0.5*8)</f>
        <v>9.6</v>
      </c>
      <c r="E28" s="46"/>
      <c r="F28" s="40"/>
      <c r="G28" s="109"/>
      <c r="H28" s="108"/>
    </row>
    <row r="29" spans="1:8" s="41" customFormat="1" ht="15" customHeight="1" x14ac:dyDescent="0.2">
      <c r="A29" s="104" t="s">
        <v>194</v>
      </c>
      <c r="B29" s="413" t="s">
        <v>269</v>
      </c>
      <c r="C29" s="415"/>
      <c r="D29" s="119">
        <f>(0.7*1.9) + (0.6*1.5)</f>
        <v>2.2299999999999995</v>
      </c>
      <c r="E29" s="46"/>
      <c r="F29" s="40"/>
      <c r="G29" s="109"/>
      <c r="H29" s="108"/>
    </row>
    <row r="30" spans="1:8" s="41" customFormat="1" x14ac:dyDescent="0.2">
      <c r="A30" s="410"/>
      <c r="B30" s="411"/>
      <c r="C30" s="411"/>
      <c r="D30" s="411"/>
      <c r="E30" s="412"/>
      <c r="F30" s="40"/>
      <c r="G30" s="54"/>
    </row>
    <row r="31" spans="1:8" s="41" customFormat="1" ht="15.75" customHeight="1" x14ac:dyDescent="0.2">
      <c r="A31" s="439" t="s">
        <v>149</v>
      </c>
      <c r="B31" s="440"/>
      <c r="C31" s="440"/>
      <c r="D31" s="75">
        <f>SUM(D32:D37)</f>
        <v>39.045274999999997</v>
      </c>
      <c r="E31" s="48" t="s">
        <v>45</v>
      </c>
      <c r="F31" s="40" t="s">
        <v>42</v>
      </c>
    </row>
    <row r="32" spans="1:8" s="41" customFormat="1" ht="15" customHeight="1" x14ac:dyDescent="0.2">
      <c r="A32" s="52" t="s">
        <v>828</v>
      </c>
      <c r="B32" s="420" t="s">
        <v>839</v>
      </c>
      <c r="C32" s="421"/>
      <c r="D32" s="53">
        <f>(2.66*4.9) + (2.26*4.4) + (0.06*2*4.8) + ((28.82*0.15)-(4.8*1.4*0.15)) + (0.06*1.4)</f>
        <v>26.952999999999999</v>
      </c>
      <c r="E32" s="46"/>
      <c r="F32" s="40"/>
      <c r="G32" s="54"/>
    </row>
    <row r="33" spans="1:7" s="41" customFormat="1" ht="15" customHeight="1" x14ac:dyDescent="0.2">
      <c r="A33" s="52" t="s">
        <v>87</v>
      </c>
      <c r="B33" s="420" t="s">
        <v>840</v>
      </c>
      <c r="C33" s="421"/>
      <c r="D33" s="53">
        <f>(83.46*0.04)</f>
        <v>3.3384</v>
      </c>
      <c r="E33" s="46"/>
      <c r="F33" s="40"/>
      <c r="G33" s="54"/>
    </row>
    <row r="34" spans="1:7" s="41" customFormat="1" x14ac:dyDescent="0.2">
      <c r="A34" s="52" t="s">
        <v>94</v>
      </c>
      <c r="B34" s="413" t="s">
        <v>790</v>
      </c>
      <c r="C34" s="415"/>
      <c r="D34" s="53">
        <f>(0.06*4.1*8)</f>
        <v>1.9679999999999997</v>
      </c>
      <c r="E34" s="46"/>
      <c r="F34" s="40"/>
      <c r="G34" s="54"/>
    </row>
    <row r="35" spans="1:7" s="41" customFormat="1" x14ac:dyDescent="0.2">
      <c r="A35" s="104" t="s">
        <v>815</v>
      </c>
      <c r="B35" s="413" t="s">
        <v>813</v>
      </c>
      <c r="C35" s="414"/>
      <c r="D35" s="53">
        <f>(0.1375*4.05) + (0.08*4.4) + (0.08*4.05) + (0.1375*13.72) + (0.1125*14.6) + (0.1*4.4)</f>
        <v>5.2018750000000011</v>
      </c>
      <c r="E35" s="46"/>
      <c r="F35" s="40"/>
      <c r="G35" s="54"/>
    </row>
    <row r="36" spans="1:7" s="41" customFormat="1" x14ac:dyDescent="0.2">
      <c r="A36" s="52" t="s">
        <v>772</v>
      </c>
      <c r="B36" s="413" t="s">
        <v>787</v>
      </c>
      <c r="C36" s="414"/>
      <c r="D36" s="53">
        <f>(0.36*0.5*8)</f>
        <v>1.44</v>
      </c>
      <c r="E36" s="46"/>
      <c r="F36" s="40"/>
      <c r="G36" s="54"/>
    </row>
    <row r="37" spans="1:7" s="41" customFormat="1" x14ac:dyDescent="0.2">
      <c r="A37" s="104" t="s">
        <v>194</v>
      </c>
      <c r="B37" s="413" t="s">
        <v>721</v>
      </c>
      <c r="C37" s="414"/>
      <c r="D37" s="53">
        <f>(0.17*0.6) + (0.42*0.1)</f>
        <v>0.14400000000000002</v>
      </c>
      <c r="E37" s="46"/>
      <c r="F37" s="40"/>
      <c r="G37" s="54"/>
    </row>
    <row r="38" spans="1:7" s="41" customFormat="1" ht="15.75" customHeight="1" x14ac:dyDescent="0.2">
      <c r="A38" s="410"/>
      <c r="B38" s="411"/>
      <c r="C38" s="411"/>
      <c r="D38" s="411"/>
      <c r="E38" s="412"/>
      <c r="F38" s="40"/>
      <c r="G38" s="54"/>
    </row>
    <row r="39" spans="1:7" s="41" customFormat="1" ht="15.75" customHeight="1" x14ac:dyDescent="0.2">
      <c r="A39" s="416" t="s">
        <v>745</v>
      </c>
      <c r="B39" s="417"/>
      <c r="C39" s="417"/>
      <c r="D39" s="76">
        <f>SUM(D40:D45)</f>
        <v>1007.39</v>
      </c>
      <c r="E39" s="48" t="s">
        <v>51</v>
      </c>
      <c r="F39" s="40"/>
      <c r="G39" s="54"/>
    </row>
    <row r="40" spans="1:7" s="41" customFormat="1" ht="15.75" customHeight="1" x14ac:dyDescent="0.2">
      <c r="A40" s="52" t="s">
        <v>87</v>
      </c>
      <c r="B40" s="413" t="s">
        <v>841</v>
      </c>
      <c r="C40" s="415"/>
      <c r="D40" s="61">
        <f>(3.34*20)</f>
        <v>66.8</v>
      </c>
      <c r="E40" s="59"/>
      <c r="F40" s="40"/>
      <c r="G40" s="54"/>
    </row>
    <row r="41" spans="1:7" s="41" customFormat="1" ht="15.75" customHeight="1" x14ac:dyDescent="0.2">
      <c r="A41" s="52" t="s">
        <v>94</v>
      </c>
      <c r="B41" s="413">
        <v>101</v>
      </c>
      <c r="C41" s="415"/>
      <c r="D41" s="61">
        <f>101</f>
        <v>101</v>
      </c>
      <c r="E41" s="290"/>
      <c r="F41" s="40"/>
      <c r="G41" s="54"/>
    </row>
    <row r="42" spans="1:7" s="41" customFormat="1" ht="15.75" customHeight="1" x14ac:dyDescent="0.2">
      <c r="A42" s="104" t="s">
        <v>815</v>
      </c>
      <c r="B42" s="413" t="s">
        <v>816</v>
      </c>
      <c r="C42" s="415"/>
      <c r="D42" s="61">
        <f>257+424</f>
        <v>681</v>
      </c>
      <c r="E42" s="290"/>
      <c r="F42" s="40"/>
      <c r="G42" s="54"/>
    </row>
    <row r="43" spans="1:7" s="41" customFormat="1" ht="15.75" customHeight="1" x14ac:dyDescent="0.2">
      <c r="A43" s="52" t="s">
        <v>772</v>
      </c>
      <c r="B43" s="413">
        <v>59</v>
      </c>
      <c r="C43" s="415"/>
      <c r="D43" s="61">
        <f>59</f>
        <v>59</v>
      </c>
      <c r="E43" s="290"/>
      <c r="F43" s="40"/>
      <c r="G43" s="54"/>
    </row>
    <row r="44" spans="1:7" s="41" customFormat="1" ht="15.75" customHeight="1" x14ac:dyDescent="0.2">
      <c r="A44" s="104" t="s">
        <v>782</v>
      </c>
      <c r="B44" s="413">
        <v>92.59</v>
      </c>
      <c r="C44" s="415"/>
      <c r="D44" s="61">
        <f>92.59</f>
        <v>92.59</v>
      </c>
      <c r="E44" s="290"/>
      <c r="F44" s="40"/>
      <c r="G44" s="54"/>
    </row>
    <row r="45" spans="1:7" s="41" customFormat="1" ht="15.75" customHeight="1" x14ac:dyDescent="0.2">
      <c r="A45" s="104" t="s">
        <v>194</v>
      </c>
      <c r="B45" s="413" t="s">
        <v>855</v>
      </c>
      <c r="C45" s="415"/>
      <c r="D45" s="61">
        <f>0.14*50</f>
        <v>7.0000000000000009</v>
      </c>
      <c r="E45" s="290"/>
      <c r="F45" s="40"/>
      <c r="G45" s="54"/>
    </row>
    <row r="46" spans="1:7" s="41" customFormat="1" ht="15.75" customHeight="1" x14ac:dyDescent="0.2">
      <c r="A46" s="410"/>
      <c r="B46" s="411"/>
      <c r="C46" s="411"/>
      <c r="D46" s="411"/>
      <c r="E46" s="412"/>
      <c r="F46" s="40"/>
      <c r="G46" s="54"/>
    </row>
    <row r="47" spans="1:7" s="41" customFormat="1" ht="15.75" customHeight="1" x14ac:dyDescent="0.2">
      <c r="A47" s="416" t="s">
        <v>746</v>
      </c>
      <c r="B47" s="417"/>
      <c r="C47" s="417"/>
      <c r="D47" s="76">
        <f>SUM(D48:D50)</f>
        <v>75</v>
      </c>
      <c r="E47" s="48" t="s">
        <v>51</v>
      </c>
      <c r="F47" s="40"/>
    </row>
    <row r="48" spans="1:7" s="51" customFormat="1" ht="16.5" customHeight="1" x14ac:dyDescent="0.2">
      <c r="A48" s="52" t="s">
        <v>94</v>
      </c>
      <c r="B48" s="413">
        <v>30</v>
      </c>
      <c r="C48" s="415"/>
      <c r="D48" s="61">
        <f>30</f>
        <v>30</v>
      </c>
      <c r="E48" s="143"/>
      <c r="F48" s="49"/>
      <c r="G48" s="62"/>
    </row>
    <row r="49" spans="1:7" s="51" customFormat="1" ht="16.5" customHeight="1" x14ac:dyDescent="0.2">
      <c r="A49" s="104" t="s">
        <v>815</v>
      </c>
      <c r="B49" s="413">
        <v>36</v>
      </c>
      <c r="C49" s="415"/>
      <c r="D49" s="61">
        <f>36</f>
        <v>36</v>
      </c>
      <c r="E49" s="290"/>
      <c r="F49" s="49"/>
      <c r="G49" s="62"/>
    </row>
    <row r="50" spans="1:7" s="51" customFormat="1" ht="16.5" customHeight="1" x14ac:dyDescent="0.2">
      <c r="A50" s="52" t="s">
        <v>772</v>
      </c>
      <c r="B50" s="413">
        <v>9</v>
      </c>
      <c r="C50" s="415"/>
      <c r="D50" s="61">
        <f>9</f>
        <v>9</v>
      </c>
      <c r="E50" s="290"/>
      <c r="F50" s="49"/>
      <c r="G50" s="62"/>
    </row>
    <row r="51" spans="1:7" s="41" customFormat="1" ht="15.75" customHeight="1" x14ac:dyDescent="0.2">
      <c r="A51" s="410"/>
      <c r="B51" s="411"/>
      <c r="C51" s="411"/>
      <c r="D51" s="411"/>
      <c r="E51" s="412"/>
      <c r="F51" s="40"/>
    </row>
    <row r="52" spans="1:7" s="41" customFormat="1" ht="15.75" customHeight="1" x14ac:dyDescent="0.2">
      <c r="A52" s="422" t="s">
        <v>270</v>
      </c>
      <c r="B52" s="423"/>
      <c r="C52" s="423"/>
      <c r="D52" s="75">
        <f>SUM(D53:D54)</f>
        <v>6.6559999999999988</v>
      </c>
      <c r="E52" s="48" t="s">
        <v>45</v>
      </c>
      <c r="F52" s="40" t="s">
        <v>42</v>
      </c>
    </row>
    <row r="53" spans="1:7" s="41" customFormat="1" ht="15.75" customHeight="1" x14ac:dyDescent="0.2">
      <c r="A53" s="104" t="s">
        <v>194</v>
      </c>
      <c r="B53" s="413" t="s">
        <v>701</v>
      </c>
      <c r="C53" s="415"/>
      <c r="D53" s="65">
        <f>0.52*0.05</f>
        <v>2.6000000000000002E-2</v>
      </c>
      <c r="E53" s="64"/>
      <c r="F53" s="40"/>
    </row>
    <row r="54" spans="1:7" s="41" customFormat="1" ht="15.75" customHeight="1" x14ac:dyDescent="0.2">
      <c r="A54" s="52" t="s">
        <v>271</v>
      </c>
      <c r="B54" s="415" t="s">
        <v>722</v>
      </c>
      <c r="C54" s="415"/>
      <c r="D54" s="147">
        <f>(28.82*0.3)- ((4.8*1.4*0.3))</f>
        <v>6.629999999999999</v>
      </c>
      <c r="E54" s="64"/>
      <c r="F54" s="40"/>
    </row>
    <row r="55" spans="1:7" s="41" customFormat="1" ht="15.75" customHeight="1" x14ac:dyDescent="0.2">
      <c r="A55" s="410"/>
      <c r="B55" s="411"/>
      <c r="C55" s="411"/>
      <c r="D55" s="411"/>
      <c r="E55" s="412"/>
      <c r="F55" s="40"/>
    </row>
    <row r="56" spans="1:7" s="41" customFormat="1" ht="15.75" customHeight="1" x14ac:dyDescent="0.2">
      <c r="A56" s="422" t="s">
        <v>8</v>
      </c>
      <c r="B56" s="423"/>
      <c r="C56" s="423"/>
      <c r="D56" s="75">
        <f>SUM(D57:D57)</f>
        <v>26.040000000000006</v>
      </c>
      <c r="E56" s="66" t="s">
        <v>41</v>
      </c>
      <c r="F56" s="40" t="s">
        <v>42</v>
      </c>
    </row>
    <row r="57" spans="1:7" s="41" customFormat="1" ht="15.75" customHeight="1" x14ac:dyDescent="0.2">
      <c r="A57" s="63"/>
      <c r="B57" s="413" t="s">
        <v>723</v>
      </c>
      <c r="C57" s="415"/>
      <c r="D57" s="65">
        <f>(102.48-76.44)</f>
        <v>26.040000000000006</v>
      </c>
      <c r="E57" s="64"/>
      <c r="F57" s="40"/>
    </row>
    <row r="58" spans="1:7" s="41" customFormat="1" ht="15.75" customHeight="1" x14ac:dyDescent="0.2">
      <c r="A58" s="410"/>
      <c r="B58" s="411"/>
      <c r="C58" s="411"/>
      <c r="D58" s="411"/>
      <c r="E58" s="412"/>
      <c r="F58" s="40"/>
    </row>
    <row r="59" spans="1:7" s="41" customFormat="1" x14ac:dyDescent="0.2">
      <c r="A59" s="422" t="s">
        <v>52</v>
      </c>
      <c r="B59" s="423"/>
      <c r="C59" s="423"/>
      <c r="D59" s="75">
        <f>SUM(D60:D60)</f>
        <v>225.58500000000004</v>
      </c>
      <c r="E59" s="48" t="s">
        <v>45</v>
      </c>
      <c r="F59" s="40" t="s">
        <v>42</v>
      </c>
    </row>
    <row r="60" spans="1:7" s="51" customFormat="1" ht="16.5" customHeight="1" x14ac:dyDescent="0.2">
      <c r="A60" s="63" t="s">
        <v>87</v>
      </c>
      <c r="B60" s="413" t="s">
        <v>319</v>
      </c>
      <c r="C60" s="415"/>
      <c r="D60" s="65">
        <f>((66.43-((0.64*2) + (0.88)))*3.5) + (0.64*0.5*2)</f>
        <v>225.58500000000004</v>
      </c>
      <c r="E60" s="64"/>
      <c r="F60" s="49"/>
    </row>
    <row r="61" spans="1:7" s="41" customFormat="1" ht="15.75" customHeight="1" x14ac:dyDescent="0.2">
      <c r="A61" s="410"/>
      <c r="B61" s="411"/>
      <c r="C61" s="411"/>
      <c r="D61" s="411"/>
      <c r="E61" s="412"/>
      <c r="F61" s="40"/>
      <c r="G61" s="54"/>
    </row>
    <row r="62" spans="1:7" s="41" customFormat="1" x14ac:dyDescent="0.2">
      <c r="A62" s="418" t="s">
        <v>53</v>
      </c>
      <c r="B62" s="419"/>
      <c r="C62" s="419"/>
      <c r="D62" s="75">
        <f>SUM(D63:D68)</f>
        <v>452.67200000000003</v>
      </c>
      <c r="E62" s="66" t="s">
        <v>41</v>
      </c>
      <c r="F62" s="40" t="s">
        <v>42</v>
      </c>
    </row>
    <row r="63" spans="1:7" s="51" customFormat="1" ht="15" customHeight="1" x14ac:dyDescent="0.2">
      <c r="A63" s="52" t="s">
        <v>87</v>
      </c>
      <c r="B63" s="420" t="s">
        <v>724</v>
      </c>
      <c r="C63" s="421"/>
      <c r="D63" s="53">
        <f>(16.45*4.4) + (15.3*4.9) + (30.2*4.4)</f>
        <v>280.23</v>
      </c>
      <c r="E63" s="46"/>
      <c r="F63" s="49"/>
    </row>
    <row r="64" spans="1:7" s="41" customFormat="1" ht="15.75" customHeight="1" x14ac:dyDescent="0.2">
      <c r="A64" s="52" t="s">
        <v>94</v>
      </c>
      <c r="B64" s="420" t="s">
        <v>698</v>
      </c>
      <c r="C64" s="421"/>
      <c r="D64" s="53">
        <f>(1*4.1*8)</f>
        <v>32.799999999999997</v>
      </c>
      <c r="E64" s="46"/>
      <c r="F64" s="40"/>
      <c r="G64" s="54"/>
    </row>
    <row r="65" spans="1:7" s="41" customFormat="1" ht="15.75" customHeight="1" x14ac:dyDescent="0.2">
      <c r="A65" s="104" t="s">
        <v>750</v>
      </c>
      <c r="B65" s="413" t="s">
        <v>817</v>
      </c>
      <c r="C65" s="414"/>
      <c r="D65" s="119">
        <f>(1.6*4.05) + (1.2*4.4) + (1.2*4.05) + (1.6*13.72) + (1.4*14.6) + (1.3*4.4)</f>
        <v>64.731999999999999</v>
      </c>
      <c r="E65" s="46"/>
      <c r="F65" s="40"/>
      <c r="G65" s="54"/>
    </row>
    <row r="66" spans="1:7" s="41" customFormat="1" ht="15.75" customHeight="1" x14ac:dyDescent="0.2">
      <c r="A66" s="52" t="s">
        <v>772</v>
      </c>
      <c r="B66" s="413" t="s">
        <v>789</v>
      </c>
      <c r="C66" s="414"/>
      <c r="D66" s="53">
        <f>(2.4*0.5*8) + (0.36*2*8)</f>
        <v>15.36</v>
      </c>
      <c r="E66" s="46"/>
      <c r="F66" s="40"/>
      <c r="G66" s="54"/>
    </row>
    <row r="67" spans="1:7" s="41" customFormat="1" ht="15.75" customHeight="1" x14ac:dyDescent="0.2">
      <c r="A67" s="104" t="s">
        <v>194</v>
      </c>
      <c r="B67" s="420" t="s">
        <v>320</v>
      </c>
      <c r="C67" s="431"/>
      <c r="D67" s="53">
        <f>(0.7*1.9) + (0.6*1.5) + 0.25 + 0.41</f>
        <v>2.8899999999999997</v>
      </c>
      <c r="E67" s="46"/>
      <c r="F67" s="40"/>
      <c r="G67" s="54"/>
    </row>
    <row r="68" spans="1:7" s="41" customFormat="1" ht="15.75" customHeight="1" x14ac:dyDescent="0.2">
      <c r="A68" s="52" t="s">
        <v>173</v>
      </c>
      <c r="B68" s="420" t="s">
        <v>273</v>
      </c>
      <c r="C68" s="431"/>
      <c r="D68" s="53">
        <f>((102.47-76.43) *2)+ (0.1*45.8)</f>
        <v>56.659999999999982</v>
      </c>
      <c r="E68" s="46"/>
      <c r="F68" s="40"/>
      <c r="G68" s="54"/>
    </row>
    <row r="69" spans="1:7" s="41" customFormat="1" ht="15.75" customHeight="1" x14ac:dyDescent="0.2">
      <c r="A69" s="410"/>
      <c r="B69" s="411"/>
      <c r="C69" s="411"/>
      <c r="D69" s="411"/>
      <c r="E69" s="412"/>
      <c r="F69" s="40"/>
      <c r="G69" s="54"/>
    </row>
    <row r="70" spans="1:7" s="41" customFormat="1" x14ac:dyDescent="0.2">
      <c r="A70" s="418" t="s">
        <v>54</v>
      </c>
      <c r="B70" s="419"/>
      <c r="C70" s="419"/>
      <c r="D70" s="76">
        <f>SUM(D71:D74)*1.04</f>
        <v>169.73320000000004</v>
      </c>
      <c r="E70" s="48" t="s">
        <v>41</v>
      </c>
      <c r="F70" s="40" t="s">
        <v>42</v>
      </c>
    </row>
    <row r="71" spans="1:7" s="51" customFormat="1" ht="15" customHeight="1" x14ac:dyDescent="0.2">
      <c r="A71" s="63" t="s">
        <v>97</v>
      </c>
      <c r="B71" s="413" t="s">
        <v>738</v>
      </c>
      <c r="C71" s="415"/>
      <c r="D71" s="67">
        <f>((39*3.2) - ((0.5*1.1*10)+(0.5*0.5*12)+(1.6*3.2*3) + (1.1*2.1) +(0.25*3.2*4) ))</f>
        <v>95.43</v>
      </c>
      <c r="E71" s="64"/>
      <c r="F71" s="49"/>
    </row>
    <row r="72" spans="1:7" s="51" customFormat="1" ht="15" customHeight="1" x14ac:dyDescent="0.2">
      <c r="A72" s="63" t="s">
        <v>98</v>
      </c>
      <c r="B72" s="413" t="s">
        <v>725</v>
      </c>
      <c r="C72" s="414"/>
      <c r="D72" s="112">
        <f>(3*3.2) + (4.4*3.1) + (2.9*3.2)</f>
        <v>32.520000000000003</v>
      </c>
      <c r="E72" s="64"/>
      <c r="F72" s="49"/>
    </row>
    <row r="73" spans="1:7" s="51" customFormat="1" ht="16.5" customHeight="1" x14ac:dyDescent="0.2">
      <c r="A73" s="141" t="s">
        <v>176</v>
      </c>
      <c r="B73" s="413" t="s">
        <v>321</v>
      </c>
      <c r="C73" s="415"/>
      <c r="D73" s="112">
        <f>40.7*0.3</f>
        <v>12.21</v>
      </c>
      <c r="E73" s="64"/>
      <c r="F73" s="49"/>
    </row>
    <row r="74" spans="1:7" s="51" customFormat="1" ht="16.5" customHeight="1" x14ac:dyDescent="0.2">
      <c r="A74" s="141" t="s">
        <v>99</v>
      </c>
      <c r="B74" s="413" t="s">
        <v>274</v>
      </c>
      <c r="C74" s="415"/>
      <c r="D74" s="67">
        <f>41.9*0.55</f>
        <v>23.045000000000002</v>
      </c>
      <c r="E74" s="64"/>
      <c r="F74" s="49"/>
    </row>
    <row r="75" spans="1:7" s="41" customFormat="1" x14ac:dyDescent="0.2">
      <c r="A75" s="410"/>
      <c r="B75" s="411"/>
      <c r="C75" s="411"/>
      <c r="D75" s="411"/>
      <c r="E75" s="412"/>
      <c r="F75" s="40"/>
      <c r="G75" s="54"/>
    </row>
    <row r="76" spans="1:7" s="41" customFormat="1" x14ac:dyDescent="0.2">
      <c r="A76" s="416" t="s">
        <v>239</v>
      </c>
      <c r="B76" s="426"/>
      <c r="C76" s="426"/>
      <c r="D76" s="68"/>
      <c r="E76" s="48" t="s">
        <v>41</v>
      </c>
      <c r="F76" s="40"/>
      <c r="G76" s="54"/>
    </row>
    <row r="77" spans="1:7" s="41" customFormat="1" x14ac:dyDescent="0.2">
      <c r="A77" s="52" t="s">
        <v>284</v>
      </c>
      <c r="B77" s="424">
        <v>36.729999999999997</v>
      </c>
      <c r="C77" s="427"/>
      <c r="D77" s="58">
        <f>36.73</f>
        <v>36.729999999999997</v>
      </c>
      <c r="E77" s="59"/>
      <c r="F77" s="40" t="s">
        <v>42</v>
      </c>
      <c r="G77" s="54"/>
    </row>
    <row r="78" spans="1:7" s="41" customFormat="1" x14ac:dyDescent="0.2">
      <c r="A78" s="104" t="s">
        <v>285</v>
      </c>
      <c r="B78" s="424">
        <v>28.82</v>
      </c>
      <c r="C78" s="427"/>
      <c r="D78" s="58">
        <f>28.82</f>
        <v>28.82</v>
      </c>
      <c r="E78" s="143"/>
      <c r="F78" s="40" t="s">
        <v>42</v>
      </c>
      <c r="G78" s="54"/>
    </row>
    <row r="79" spans="1:7" s="41" customFormat="1" x14ac:dyDescent="0.2">
      <c r="A79" s="428"/>
      <c r="B79" s="429"/>
      <c r="C79" s="429"/>
      <c r="D79" s="429"/>
      <c r="E79" s="430"/>
      <c r="F79" s="40"/>
      <c r="G79" s="54"/>
    </row>
    <row r="80" spans="1:7" s="41" customFormat="1" x14ac:dyDescent="0.2">
      <c r="A80" s="416" t="s">
        <v>181</v>
      </c>
      <c r="B80" s="426"/>
      <c r="C80" s="426"/>
      <c r="D80" s="68">
        <f>SUM(D81:D81)</f>
        <v>36.299999999999997</v>
      </c>
      <c r="E80" s="48" t="s">
        <v>55</v>
      </c>
      <c r="F80" s="40" t="s">
        <v>42</v>
      </c>
      <c r="G80" s="54"/>
    </row>
    <row r="81" spans="1:7" s="41" customFormat="1" x14ac:dyDescent="0.2">
      <c r="A81" s="69"/>
      <c r="B81" s="424" t="s">
        <v>740</v>
      </c>
      <c r="C81" s="427"/>
      <c r="D81" s="58">
        <f>(39-1.6-1.1)</f>
        <v>36.299999999999997</v>
      </c>
      <c r="E81" s="59"/>
      <c r="F81" s="40"/>
      <c r="G81" s="54"/>
    </row>
    <row r="82" spans="1:7" s="41" customFormat="1" x14ac:dyDescent="0.2">
      <c r="A82" s="428"/>
      <c r="B82" s="429"/>
      <c r="C82" s="429"/>
      <c r="D82" s="429"/>
      <c r="E82" s="430"/>
      <c r="F82" s="40"/>
      <c r="G82" s="54"/>
    </row>
    <row r="83" spans="1:7" s="41" customFormat="1" x14ac:dyDescent="0.2">
      <c r="A83" s="416" t="s">
        <v>177</v>
      </c>
      <c r="B83" s="426"/>
      <c r="C83" s="426"/>
      <c r="D83" s="68"/>
      <c r="E83" s="48" t="s">
        <v>41</v>
      </c>
      <c r="F83" s="40"/>
      <c r="G83" s="54"/>
    </row>
    <row r="84" spans="1:7" s="41" customFormat="1" x14ac:dyDescent="0.2">
      <c r="A84" s="69" t="s">
        <v>184</v>
      </c>
      <c r="B84" s="424" t="s">
        <v>276</v>
      </c>
      <c r="C84" s="427"/>
      <c r="D84" s="58">
        <f>1.6*3.2*3</f>
        <v>15.360000000000003</v>
      </c>
      <c r="E84" s="59"/>
      <c r="F84" s="40" t="s">
        <v>42</v>
      </c>
      <c r="G84" s="54"/>
    </row>
    <row r="85" spans="1:7" s="41" customFormat="1" x14ac:dyDescent="0.2">
      <c r="A85" s="142" t="s">
        <v>196</v>
      </c>
      <c r="B85" s="424" t="s">
        <v>188</v>
      </c>
      <c r="C85" s="425"/>
      <c r="D85" s="135">
        <f>1.1*2.1</f>
        <v>2.3100000000000005</v>
      </c>
      <c r="E85" s="59"/>
      <c r="F85" s="40" t="s">
        <v>42</v>
      </c>
      <c r="G85" s="54"/>
    </row>
    <row r="86" spans="1:7" s="41" customFormat="1" x14ac:dyDescent="0.2">
      <c r="A86" s="142" t="s">
        <v>275</v>
      </c>
      <c r="B86" s="424" t="s">
        <v>322</v>
      </c>
      <c r="C86" s="427"/>
      <c r="D86" s="58">
        <f>(1*3)+ (2.55*3*2)</f>
        <v>18.299999999999997</v>
      </c>
      <c r="E86" s="59"/>
      <c r="F86" s="40" t="s">
        <v>42</v>
      </c>
      <c r="G86" s="54"/>
    </row>
    <row r="87" spans="1:7" s="41" customFormat="1" x14ac:dyDescent="0.2">
      <c r="A87" s="428"/>
      <c r="B87" s="429"/>
      <c r="C87" s="429"/>
      <c r="D87" s="429"/>
      <c r="E87" s="430"/>
      <c r="F87" s="40"/>
      <c r="G87" s="54"/>
    </row>
    <row r="88" spans="1:7" s="41" customFormat="1" x14ac:dyDescent="0.2">
      <c r="A88" s="416" t="s">
        <v>189</v>
      </c>
      <c r="B88" s="426"/>
      <c r="C88" s="426"/>
      <c r="D88" s="68"/>
      <c r="E88" s="48" t="s">
        <v>41</v>
      </c>
      <c r="F88" s="40"/>
      <c r="G88" s="54"/>
    </row>
    <row r="89" spans="1:7" s="41" customFormat="1" x14ac:dyDescent="0.2">
      <c r="A89" s="69" t="s">
        <v>186</v>
      </c>
      <c r="B89" s="424" t="s">
        <v>277</v>
      </c>
      <c r="C89" s="427"/>
      <c r="D89" s="58">
        <f>(1.1*0.5)*10</f>
        <v>5.5</v>
      </c>
      <c r="E89" s="59"/>
      <c r="F89" s="40" t="s">
        <v>42</v>
      </c>
      <c r="G89" s="54"/>
    </row>
    <row r="90" spans="1:7" s="41" customFormat="1" x14ac:dyDescent="0.2">
      <c r="A90" s="142" t="s">
        <v>187</v>
      </c>
      <c r="B90" s="424" t="s">
        <v>278</v>
      </c>
      <c r="C90" s="425"/>
      <c r="D90" s="135">
        <f>(0.5*0.5)*12</f>
        <v>3</v>
      </c>
      <c r="E90" s="59"/>
      <c r="F90" s="40" t="s">
        <v>42</v>
      </c>
      <c r="G90" s="54"/>
    </row>
    <row r="91" spans="1:7" s="41" customFormat="1" x14ac:dyDescent="0.2">
      <c r="A91" s="428"/>
      <c r="B91" s="429"/>
      <c r="C91" s="429"/>
      <c r="D91" s="429"/>
      <c r="E91" s="430"/>
      <c r="F91" s="40"/>
      <c r="G91" s="54"/>
    </row>
    <row r="92" spans="1:7" s="41" customFormat="1" x14ac:dyDescent="0.2">
      <c r="A92" s="416" t="s">
        <v>182</v>
      </c>
      <c r="B92" s="426"/>
      <c r="C92" s="426"/>
      <c r="D92" s="68">
        <f>SUM(D93:D94)</f>
        <v>0.88500000000000001</v>
      </c>
      <c r="E92" s="48" t="s">
        <v>41</v>
      </c>
      <c r="F92" s="40" t="s">
        <v>42</v>
      </c>
      <c r="G92" s="54"/>
    </row>
    <row r="93" spans="1:7" s="41" customFormat="1" x14ac:dyDescent="0.2">
      <c r="A93" s="69" t="s">
        <v>184</v>
      </c>
      <c r="B93" s="424" t="s">
        <v>281</v>
      </c>
      <c r="C93" s="427"/>
      <c r="D93" s="58">
        <f>1.6*0.15*3</f>
        <v>0.72</v>
      </c>
      <c r="E93" s="59"/>
      <c r="F93" s="40"/>
      <c r="G93" s="54"/>
    </row>
    <row r="94" spans="1:7" s="41" customFormat="1" x14ac:dyDescent="0.2">
      <c r="A94" s="69" t="s">
        <v>196</v>
      </c>
      <c r="B94" s="427" t="s">
        <v>183</v>
      </c>
      <c r="C94" s="427"/>
      <c r="D94" s="58">
        <f>1.1*0.15</f>
        <v>0.16500000000000001</v>
      </c>
      <c r="E94" s="143"/>
      <c r="F94" s="40"/>
      <c r="G94" s="54"/>
    </row>
    <row r="95" spans="1:7" s="41" customFormat="1" x14ac:dyDescent="0.2">
      <c r="A95" s="428"/>
      <c r="B95" s="429"/>
      <c r="C95" s="429"/>
      <c r="D95" s="429"/>
      <c r="E95" s="430"/>
      <c r="F95" s="40"/>
      <c r="G95" s="54"/>
    </row>
    <row r="96" spans="1:7" s="41" customFormat="1" x14ac:dyDescent="0.2">
      <c r="A96" s="416" t="s">
        <v>185</v>
      </c>
      <c r="B96" s="426"/>
      <c r="C96" s="426"/>
      <c r="D96" s="68">
        <f>SUM(D97:D98)</f>
        <v>17</v>
      </c>
      <c r="E96" s="48" t="s">
        <v>55</v>
      </c>
      <c r="F96" s="40" t="s">
        <v>42</v>
      </c>
      <c r="G96" s="54"/>
    </row>
    <row r="97" spans="1:7" s="41" customFormat="1" x14ac:dyDescent="0.2">
      <c r="A97" s="69" t="s">
        <v>186</v>
      </c>
      <c r="B97" s="424" t="s">
        <v>279</v>
      </c>
      <c r="C97" s="427"/>
      <c r="D97" s="58">
        <f>1.1*10</f>
        <v>11</v>
      </c>
      <c r="E97" s="59"/>
      <c r="F97" s="40"/>
      <c r="G97" s="54"/>
    </row>
    <row r="98" spans="1:7" s="41" customFormat="1" x14ac:dyDescent="0.2">
      <c r="A98" s="142" t="s">
        <v>187</v>
      </c>
      <c r="B98" s="424" t="s">
        <v>280</v>
      </c>
      <c r="C98" s="425"/>
      <c r="D98" s="58">
        <f>0.5*12</f>
        <v>6</v>
      </c>
      <c r="E98" s="143"/>
      <c r="F98" s="40"/>
      <c r="G98" s="54"/>
    </row>
    <row r="99" spans="1:7" s="41" customFormat="1" x14ac:dyDescent="0.2">
      <c r="A99" s="428"/>
      <c r="B99" s="429"/>
      <c r="C99" s="429"/>
      <c r="D99" s="429"/>
      <c r="E99" s="430"/>
      <c r="F99" s="40"/>
      <c r="G99" s="54"/>
    </row>
    <row r="100" spans="1:7" s="41" customFormat="1" x14ac:dyDescent="0.2">
      <c r="A100" s="416" t="s">
        <v>204</v>
      </c>
      <c r="B100" s="426"/>
      <c r="C100" s="426"/>
      <c r="D100" s="68">
        <f>SUM(D101:D101)</f>
        <v>73.746000000000009</v>
      </c>
      <c r="E100" s="48" t="s">
        <v>41</v>
      </c>
      <c r="F100" s="40" t="s">
        <v>42</v>
      </c>
    </row>
    <row r="101" spans="1:7" s="41" customFormat="1" x14ac:dyDescent="0.2">
      <c r="A101" s="69"/>
      <c r="B101" s="424" t="s">
        <v>726</v>
      </c>
      <c r="C101" s="427"/>
      <c r="D101" s="58">
        <f>4.82*15.3</f>
        <v>73.746000000000009</v>
      </c>
      <c r="E101" s="59"/>
      <c r="F101" s="40"/>
    </row>
    <row r="102" spans="1:7" s="41" customFormat="1" x14ac:dyDescent="0.2">
      <c r="A102" s="428"/>
      <c r="B102" s="429"/>
      <c r="C102" s="429"/>
      <c r="D102" s="429"/>
      <c r="E102" s="430"/>
      <c r="F102" s="40"/>
    </row>
    <row r="103" spans="1:7" s="41" customFormat="1" x14ac:dyDescent="0.2">
      <c r="A103" s="416" t="s">
        <v>121</v>
      </c>
      <c r="B103" s="426"/>
      <c r="C103" s="426"/>
      <c r="D103" s="68">
        <f>SUM(D104:D104)</f>
        <v>15.28</v>
      </c>
      <c r="E103" s="48" t="s">
        <v>55</v>
      </c>
      <c r="F103" s="40" t="s">
        <v>42</v>
      </c>
    </row>
    <row r="104" spans="1:7" s="41" customFormat="1" x14ac:dyDescent="0.2">
      <c r="A104" s="69"/>
      <c r="B104" s="424">
        <v>15.28</v>
      </c>
      <c r="C104" s="427"/>
      <c r="D104" s="58">
        <f>15.28</f>
        <v>15.28</v>
      </c>
      <c r="E104" s="59"/>
      <c r="F104" s="40"/>
    </row>
    <row r="105" spans="1:7" s="41" customFormat="1" x14ac:dyDescent="0.2">
      <c r="A105" s="428"/>
      <c r="B105" s="429"/>
      <c r="C105" s="429"/>
      <c r="D105" s="429"/>
      <c r="E105" s="430"/>
      <c r="F105" s="40"/>
    </row>
    <row r="106" spans="1:7" s="41" customFormat="1" x14ac:dyDescent="0.2">
      <c r="A106" s="416" t="s">
        <v>129</v>
      </c>
      <c r="B106" s="426"/>
      <c r="C106" s="426"/>
      <c r="D106" s="68">
        <f>SUM(D107:D107)</f>
        <v>41.9</v>
      </c>
      <c r="E106" s="48" t="s">
        <v>55</v>
      </c>
      <c r="F106" s="40" t="s">
        <v>42</v>
      </c>
    </row>
    <row r="107" spans="1:7" s="41" customFormat="1" x14ac:dyDescent="0.2">
      <c r="A107" s="69"/>
      <c r="B107" s="424">
        <v>41.9</v>
      </c>
      <c r="C107" s="427"/>
      <c r="D107" s="58">
        <f>41.9</f>
        <v>41.9</v>
      </c>
      <c r="E107" s="59"/>
      <c r="F107" s="40"/>
    </row>
    <row r="108" spans="1:7" s="41" customFormat="1" x14ac:dyDescent="0.2">
      <c r="A108" s="428"/>
      <c r="B108" s="429"/>
      <c r="C108" s="429"/>
      <c r="D108" s="429"/>
      <c r="E108" s="430"/>
      <c r="F108" s="40"/>
    </row>
    <row r="109" spans="1:7" s="41" customFormat="1" x14ac:dyDescent="0.2">
      <c r="A109" s="416" t="s">
        <v>180</v>
      </c>
      <c r="B109" s="426"/>
      <c r="C109" s="426"/>
      <c r="D109" s="68">
        <f>SUM(D110:D113)</f>
        <v>417.21000000000004</v>
      </c>
      <c r="E109" s="48" t="s">
        <v>41</v>
      </c>
      <c r="F109" s="40" t="s">
        <v>42</v>
      </c>
    </row>
    <row r="110" spans="1:7" s="41" customFormat="1" ht="26.25" customHeight="1" x14ac:dyDescent="0.2">
      <c r="A110" s="63" t="s">
        <v>97</v>
      </c>
      <c r="B110" s="413" t="s">
        <v>739</v>
      </c>
      <c r="C110" s="438"/>
      <c r="D110" s="71">
        <f>((40.1*3.75) - ((1.1*0.5*10)+(0.5*0.5*12)+(1.6*3.2*3) + (1.1*2.1)))+((40.1*3.2) - ((1.1*0.5*10)+(0.5*0.5*12)+(1.6*3.2*3)+(1.1*2.1)))</f>
        <v>226.35500000000002</v>
      </c>
      <c r="E110" s="72"/>
      <c r="F110" s="40"/>
    </row>
    <row r="111" spans="1:7" s="41" customFormat="1" x14ac:dyDescent="0.2">
      <c r="A111" s="63" t="s">
        <v>98</v>
      </c>
      <c r="B111" s="413" t="s">
        <v>727</v>
      </c>
      <c r="C111" s="414"/>
      <c r="D111" s="71">
        <f>(3*3.2*2) + (0.64*2) + (4.4*3.1*2) + (3.2*2.9*2)</f>
        <v>66.320000000000007</v>
      </c>
      <c r="E111" s="113"/>
      <c r="F111" s="40"/>
    </row>
    <row r="112" spans="1:7" s="41" customFormat="1" x14ac:dyDescent="0.2">
      <c r="A112" s="141" t="s">
        <v>99</v>
      </c>
      <c r="B112" s="413" t="s">
        <v>282</v>
      </c>
      <c r="C112" s="415"/>
      <c r="D112" s="67">
        <f>(41.9*0.55*2) + (0.15*41.9)</f>
        <v>52.375</v>
      </c>
      <c r="E112" s="113"/>
      <c r="F112" s="40"/>
    </row>
    <row r="113" spans="1:6" s="41" customFormat="1" x14ac:dyDescent="0.2">
      <c r="A113" s="141" t="s">
        <v>179</v>
      </c>
      <c r="B113" s="413" t="s">
        <v>283</v>
      </c>
      <c r="C113" s="415"/>
      <c r="D113" s="67">
        <f>16.4*4.4</f>
        <v>72.16</v>
      </c>
      <c r="E113" s="113"/>
      <c r="F113" s="40"/>
    </row>
    <row r="114" spans="1:6" s="41" customFormat="1" x14ac:dyDescent="0.2">
      <c r="A114" s="435"/>
      <c r="B114" s="436"/>
      <c r="C114" s="436"/>
      <c r="D114" s="436"/>
      <c r="E114" s="437"/>
      <c r="F114" s="40"/>
    </row>
    <row r="115" spans="1:6" s="41" customFormat="1" x14ac:dyDescent="0.2">
      <c r="A115" s="416" t="s">
        <v>190</v>
      </c>
      <c r="B115" s="426"/>
      <c r="C115" s="426"/>
      <c r="D115" s="68">
        <f>SUM(D116:D118)</f>
        <v>345.05</v>
      </c>
      <c r="E115" s="48" t="s">
        <v>41</v>
      </c>
      <c r="F115" s="40" t="s">
        <v>42</v>
      </c>
    </row>
    <row r="116" spans="1:6" s="41" customFormat="1" ht="24.75" customHeight="1" x14ac:dyDescent="0.2">
      <c r="A116" s="63" t="s">
        <v>97</v>
      </c>
      <c r="B116" s="413" t="s">
        <v>739</v>
      </c>
      <c r="C116" s="438"/>
      <c r="D116" s="71">
        <f>((40.1*3.75) - ((1.1*0.5*10)+(0.5*0.5*12)+(1.6*3.2*3) + (1.1*2.1)))+((40.1*3.2) - ((1.1*0.5*10)+(0.5*0.5*12)+(1.6*3.2*3)+(1.1*2.1)))</f>
        <v>226.35500000000002</v>
      </c>
      <c r="E116" s="72"/>
      <c r="F116" s="40"/>
    </row>
    <row r="117" spans="1:6" s="41" customFormat="1" ht="14.25" customHeight="1" x14ac:dyDescent="0.2">
      <c r="A117" s="63" t="s">
        <v>98</v>
      </c>
      <c r="B117" s="413" t="s">
        <v>727</v>
      </c>
      <c r="C117" s="414"/>
      <c r="D117" s="71">
        <f>(3*3.2*2) + (0.64*2) + (4.4*3.1*2) + (3.2*2.9*2)</f>
        <v>66.320000000000007</v>
      </c>
      <c r="E117" s="113"/>
      <c r="F117" s="40"/>
    </row>
    <row r="118" spans="1:6" s="41" customFormat="1" x14ac:dyDescent="0.2">
      <c r="A118" s="141" t="s">
        <v>99</v>
      </c>
      <c r="B118" s="413" t="s">
        <v>282</v>
      </c>
      <c r="C118" s="415"/>
      <c r="D118" s="67">
        <f>(41.9*0.55*2) + (0.15*41.9)</f>
        <v>52.375</v>
      </c>
      <c r="E118" s="113"/>
      <c r="F118" s="40"/>
    </row>
    <row r="119" spans="1:6" s="41" customFormat="1" x14ac:dyDescent="0.2">
      <c r="A119" s="435"/>
      <c r="B119" s="436"/>
      <c r="C119" s="436"/>
      <c r="D119" s="436"/>
      <c r="E119" s="437"/>
      <c r="F119" s="40"/>
    </row>
    <row r="120" spans="1:6" x14ac:dyDescent="0.25">
      <c r="A120" s="416" t="s">
        <v>800</v>
      </c>
      <c r="B120" s="426"/>
      <c r="C120" s="426"/>
      <c r="D120" s="68">
        <f>SUM(D121:D121)</f>
        <v>57</v>
      </c>
      <c r="E120" s="48" t="s">
        <v>55</v>
      </c>
    </row>
    <row r="121" spans="1:6" x14ac:dyDescent="0.25">
      <c r="A121" s="69"/>
      <c r="B121" s="424" t="s">
        <v>814</v>
      </c>
      <c r="C121" s="427"/>
      <c r="D121" s="58">
        <f>(6*5) + (9*3)</f>
        <v>57</v>
      </c>
      <c r="E121" s="59"/>
    </row>
    <row r="122" spans="1:6" x14ac:dyDescent="0.25">
      <c r="A122" s="428"/>
      <c r="B122" s="429"/>
      <c r="C122" s="429"/>
      <c r="D122" s="429"/>
      <c r="E122" s="430"/>
    </row>
  </sheetData>
  <mergeCells count="123">
    <mergeCell ref="B66:C66"/>
    <mergeCell ref="B65:C65"/>
    <mergeCell ref="A120:C120"/>
    <mergeCell ref="B121:C121"/>
    <mergeCell ref="A122:E122"/>
    <mergeCell ref="B48:C48"/>
    <mergeCell ref="B49:C49"/>
    <mergeCell ref="B50:C50"/>
    <mergeCell ref="A59:C59"/>
    <mergeCell ref="B60:C60"/>
    <mergeCell ref="A61:E61"/>
    <mergeCell ref="A62:C62"/>
    <mergeCell ref="B63:C63"/>
    <mergeCell ref="B64:C64"/>
    <mergeCell ref="A52:C52"/>
    <mergeCell ref="B53:C53"/>
    <mergeCell ref="A55:E55"/>
    <mergeCell ref="A56:C56"/>
    <mergeCell ref="B57:C57"/>
    <mergeCell ref="A58:E58"/>
    <mergeCell ref="B54:C54"/>
    <mergeCell ref="B74:C74"/>
    <mergeCell ref="B89:C89"/>
    <mergeCell ref="B90:C90"/>
    <mergeCell ref="A6:C6"/>
    <mergeCell ref="B7:C7"/>
    <mergeCell ref="A8:E8"/>
    <mergeCell ref="A9:C9"/>
    <mergeCell ref="B10:C10"/>
    <mergeCell ref="B11:C11"/>
    <mergeCell ref="D1:E1"/>
    <mergeCell ref="A2:B2"/>
    <mergeCell ref="D2:E2"/>
    <mergeCell ref="A3:E3"/>
    <mergeCell ref="A4:C4"/>
    <mergeCell ref="A5:C5"/>
    <mergeCell ref="B18:C18"/>
    <mergeCell ref="A19:E19"/>
    <mergeCell ref="A20:C20"/>
    <mergeCell ref="B21:C21"/>
    <mergeCell ref="A22:E22"/>
    <mergeCell ref="A23:C23"/>
    <mergeCell ref="A12:E12"/>
    <mergeCell ref="A13:C13"/>
    <mergeCell ref="B14:C14"/>
    <mergeCell ref="B15:C15"/>
    <mergeCell ref="A16:E16"/>
    <mergeCell ref="A17:C17"/>
    <mergeCell ref="B34:C34"/>
    <mergeCell ref="B37:C37"/>
    <mergeCell ref="A38:E38"/>
    <mergeCell ref="A47:C47"/>
    <mergeCell ref="A51:E51"/>
    <mergeCell ref="B24:C24"/>
    <mergeCell ref="B25:C25"/>
    <mergeCell ref="B29:C29"/>
    <mergeCell ref="A30:E30"/>
    <mergeCell ref="A31:C31"/>
    <mergeCell ref="B32:C32"/>
    <mergeCell ref="B26:C26"/>
    <mergeCell ref="B35:C35"/>
    <mergeCell ref="B27:C27"/>
    <mergeCell ref="B28:C28"/>
    <mergeCell ref="B36:C36"/>
    <mergeCell ref="A39:C39"/>
    <mergeCell ref="B40:C40"/>
    <mergeCell ref="B41:C41"/>
    <mergeCell ref="B42:C42"/>
    <mergeCell ref="B43:C43"/>
    <mergeCell ref="B45:C45"/>
    <mergeCell ref="A46:E46"/>
    <mergeCell ref="B44:C44"/>
    <mergeCell ref="A75:E75"/>
    <mergeCell ref="A76:C76"/>
    <mergeCell ref="B77:C77"/>
    <mergeCell ref="A79:E79"/>
    <mergeCell ref="A80:C80"/>
    <mergeCell ref="B67:C67"/>
    <mergeCell ref="B68:C68"/>
    <mergeCell ref="A69:E69"/>
    <mergeCell ref="A70:C70"/>
    <mergeCell ref="B71:C71"/>
    <mergeCell ref="B73:C73"/>
    <mergeCell ref="B72:C72"/>
    <mergeCell ref="B78:C78"/>
    <mergeCell ref="B116:C116"/>
    <mergeCell ref="B118:C118"/>
    <mergeCell ref="A119:E119"/>
    <mergeCell ref="B117:C117"/>
    <mergeCell ref="A106:C106"/>
    <mergeCell ref="B107:C107"/>
    <mergeCell ref="A108:E108"/>
    <mergeCell ref="A109:C109"/>
    <mergeCell ref="B110:C110"/>
    <mergeCell ref="B112:C112"/>
    <mergeCell ref="B111:C111"/>
    <mergeCell ref="B113:C113"/>
    <mergeCell ref="A114:E114"/>
    <mergeCell ref="A115:C115"/>
    <mergeCell ref="B33:C33"/>
    <mergeCell ref="A100:C100"/>
    <mergeCell ref="B101:C101"/>
    <mergeCell ref="A102:E102"/>
    <mergeCell ref="A103:C103"/>
    <mergeCell ref="B104:C104"/>
    <mergeCell ref="A105:E105"/>
    <mergeCell ref="B94:C94"/>
    <mergeCell ref="A95:E95"/>
    <mergeCell ref="A96:C96"/>
    <mergeCell ref="B97:C97"/>
    <mergeCell ref="B98:C98"/>
    <mergeCell ref="A99:E99"/>
    <mergeCell ref="A91:E91"/>
    <mergeCell ref="A92:C92"/>
    <mergeCell ref="B93:C93"/>
    <mergeCell ref="B81:C81"/>
    <mergeCell ref="A82:E82"/>
    <mergeCell ref="A83:C83"/>
    <mergeCell ref="B84:C84"/>
    <mergeCell ref="B85:C85"/>
    <mergeCell ref="A87:E87"/>
    <mergeCell ref="B86:C86"/>
    <mergeCell ref="A88:C88"/>
  </mergeCells>
  <printOptions horizontalCentered="1"/>
  <pageMargins left="0.98425196850393704" right="0.98425196850393704" top="0.98425196850393704" bottom="0.98425196850393704" header="0.31496062992125984" footer="0.31496062992125984"/>
  <pageSetup paperSize="9" scale="75" orientation="portrait" verticalDpi="200" r:id="rId1"/>
  <headerFooter>
    <oddHeader>&amp;L&amp;G&amp;R&amp;G</oddHead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BC8FE6-7812-46BB-9F21-9F1E45F08B2A}">
  <sheetPr codeName="Planilha16"/>
  <dimension ref="A1:H88"/>
  <sheetViews>
    <sheetView view="pageBreakPreview" zoomScaleSheetLayoutView="100" workbookViewId="0"/>
  </sheetViews>
  <sheetFormatPr defaultRowHeight="15" x14ac:dyDescent="0.25"/>
  <cols>
    <col min="1" max="1" width="17.140625" style="73" customWidth="1"/>
    <col min="2" max="2" width="28.28515625" style="38" customWidth="1"/>
    <col min="3" max="3" width="43.140625" style="38" customWidth="1"/>
    <col min="4" max="4" width="10.7109375" style="38" customWidth="1"/>
    <col min="5" max="5" width="7.7109375" style="38" customWidth="1"/>
    <col min="6" max="6" width="3.7109375" style="37" bestFit="1" customWidth="1"/>
    <col min="7" max="16384" width="9.140625" style="38"/>
  </cols>
  <sheetData>
    <row r="1" spans="1:7" x14ac:dyDescent="0.25">
      <c r="A1" s="148" t="s">
        <v>35</v>
      </c>
      <c r="B1" s="35"/>
      <c r="C1" s="36" t="s">
        <v>36</v>
      </c>
      <c r="D1" s="441" t="s">
        <v>37</v>
      </c>
      <c r="E1" s="442"/>
    </row>
    <row r="2" spans="1:7" s="39" customFormat="1" ht="24.75" customHeight="1" x14ac:dyDescent="0.2">
      <c r="A2" s="443" t="s">
        <v>57</v>
      </c>
      <c r="B2" s="444"/>
      <c r="C2" s="149" t="s">
        <v>323</v>
      </c>
      <c r="D2" s="445">
        <v>44424</v>
      </c>
      <c r="E2" s="446"/>
      <c r="F2" s="37"/>
    </row>
    <row r="3" spans="1:7" s="41" customFormat="1" x14ac:dyDescent="0.2">
      <c r="A3" s="410"/>
      <c r="B3" s="411"/>
      <c r="C3" s="411"/>
      <c r="D3" s="447"/>
      <c r="E3" s="448"/>
      <c r="F3" s="40"/>
    </row>
    <row r="4" spans="1:7" s="45" customFormat="1" ht="18" customHeight="1" x14ac:dyDescent="0.2">
      <c r="A4" s="449" t="s">
        <v>38</v>
      </c>
      <c r="B4" s="450"/>
      <c r="C4" s="450"/>
      <c r="D4" s="42" t="s">
        <v>39</v>
      </c>
      <c r="E4" s="43" t="s">
        <v>34</v>
      </c>
      <c r="F4" s="44"/>
    </row>
    <row r="5" spans="1:7" s="47" customFormat="1" ht="12.75" x14ac:dyDescent="0.2">
      <c r="A5" s="451"/>
      <c r="B5" s="452"/>
      <c r="C5" s="452"/>
      <c r="D5" s="74"/>
      <c r="E5" s="46"/>
      <c r="F5" s="40"/>
    </row>
    <row r="6" spans="1:7" s="51" customFormat="1" ht="16.5" customHeight="1" x14ac:dyDescent="0.2">
      <c r="A6" s="416" t="s">
        <v>40</v>
      </c>
      <c r="B6" s="417"/>
      <c r="C6" s="417"/>
      <c r="D6" s="75">
        <f>SUM(D7:D7)</f>
        <v>522.57000000000005</v>
      </c>
      <c r="E6" s="48" t="s">
        <v>41</v>
      </c>
      <c r="F6" s="49" t="s">
        <v>42</v>
      </c>
      <c r="G6" s="50" t="s">
        <v>43</v>
      </c>
    </row>
    <row r="7" spans="1:7" s="41" customFormat="1" ht="15.75" customHeight="1" x14ac:dyDescent="0.2">
      <c r="A7" s="52"/>
      <c r="B7" s="420" t="s">
        <v>349</v>
      </c>
      <c r="C7" s="421"/>
      <c r="D7" s="53">
        <f>171.72 + 350.85</f>
        <v>522.57000000000005</v>
      </c>
      <c r="E7" s="46"/>
      <c r="F7" s="40"/>
      <c r="G7" s="54"/>
    </row>
    <row r="8" spans="1:7" s="41" customFormat="1" ht="15.75" customHeight="1" x14ac:dyDescent="0.2">
      <c r="A8" s="410"/>
      <c r="B8" s="411"/>
      <c r="C8" s="411"/>
      <c r="D8" s="411"/>
      <c r="E8" s="412"/>
      <c r="F8" s="40"/>
    </row>
    <row r="9" spans="1:7" s="51" customFormat="1" ht="16.5" customHeight="1" x14ac:dyDescent="0.2">
      <c r="A9" s="439" t="s">
        <v>44</v>
      </c>
      <c r="B9" s="440"/>
      <c r="C9" s="440"/>
      <c r="D9" s="76">
        <f>SUM(D10:D11)*1.05</f>
        <v>1739.1325350000004</v>
      </c>
      <c r="E9" s="48" t="s">
        <v>45</v>
      </c>
      <c r="F9" s="49" t="s">
        <v>42</v>
      </c>
      <c r="G9" s="50" t="s">
        <v>43</v>
      </c>
    </row>
    <row r="10" spans="1:7" s="41" customFormat="1" ht="15" customHeight="1" x14ac:dyDescent="0.2">
      <c r="A10" s="106"/>
      <c r="B10" s="453" t="s">
        <v>324</v>
      </c>
      <c r="C10" s="454"/>
      <c r="D10" s="55">
        <f>(7.2*18.4) + (21.16*3.1) + (12.07*64.84) + ((67.58+67.58+23.46)*3.4)</f>
        <v>1520.0028000000002</v>
      </c>
      <c r="E10" s="46"/>
      <c r="F10" s="40"/>
      <c r="G10" s="54"/>
    </row>
    <row r="11" spans="1:7" s="41" customFormat="1" ht="26.25" customHeight="1" x14ac:dyDescent="0.2">
      <c r="A11" s="150"/>
      <c r="B11" s="453" t="s">
        <v>326</v>
      </c>
      <c r="C11" s="458"/>
      <c r="D11" s="105">
        <f>(0.12*38) + (0.45*17.02) + (266.61*0.43) + (0.04*17.02) + (0.61*14.38)</f>
        <v>136.31390000000002</v>
      </c>
      <c r="E11" s="46"/>
      <c r="F11" s="40"/>
      <c r="G11" s="54"/>
    </row>
    <row r="12" spans="1:7" s="41" customFormat="1" ht="15.75" customHeight="1" x14ac:dyDescent="0.2">
      <c r="A12" s="410"/>
      <c r="B12" s="411"/>
      <c r="C12" s="411"/>
      <c r="D12" s="411"/>
      <c r="E12" s="412"/>
      <c r="F12" s="40"/>
    </row>
    <row r="13" spans="1:7" s="51" customFormat="1" ht="16.5" customHeight="1" x14ac:dyDescent="0.2">
      <c r="A13" s="439" t="s">
        <v>46</v>
      </c>
      <c r="B13" s="440"/>
      <c r="C13" s="440"/>
      <c r="D13" s="76">
        <f>SUM(D14:D15)</f>
        <v>978.46980000000008</v>
      </c>
      <c r="E13" s="48" t="s">
        <v>45</v>
      </c>
      <c r="F13" s="49" t="s">
        <v>42</v>
      </c>
      <c r="G13" s="57"/>
    </row>
    <row r="14" spans="1:7" s="41" customFormat="1" ht="15" customHeight="1" x14ac:dyDescent="0.2">
      <c r="A14" s="106"/>
      <c r="B14" s="413" t="s">
        <v>325</v>
      </c>
      <c r="C14" s="415"/>
      <c r="D14" s="55">
        <f>(9.98*18.4) + (12.07*64.84)</f>
        <v>966.25080000000003</v>
      </c>
      <c r="E14" s="46"/>
      <c r="F14" s="40"/>
      <c r="G14" s="54"/>
    </row>
    <row r="15" spans="1:7" s="41" customFormat="1" ht="15" customHeight="1" x14ac:dyDescent="0.2">
      <c r="A15" s="150"/>
      <c r="B15" s="453" t="s">
        <v>327</v>
      </c>
      <c r="C15" s="458"/>
      <c r="D15" s="105">
        <f>(0.12*38) + (0.45*17.02)</f>
        <v>12.218999999999999</v>
      </c>
      <c r="E15" s="46"/>
      <c r="F15" s="40"/>
      <c r="G15" s="54"/>
    </row>
    <row r="16" spans="1:7" s="41" customFormat="1" ht="15.75" customHeight="1" x14ac:dyDescent="0.2">
      <c r="A16" s="410"/>
      <c r="B16" s="411"/>
      <c r="C16" s="411"/>
      <c r="D16" s="411"/>
      <c r="E16" s="412"/>
      <c r="F16" s="40"/>
    </row>
    <row r="17" spans="1:8" s="51" customFormat="1" ht="16.5" customHeight="1" x14ac:dyDescent="0.2">
      <c r="A17" s="439" t="s">
        <v>47</v>
      </c>
      <c r="B17" s="440"/>
      <c r="C17" s="440"/>
      <c r="D17" s="75">
        <f>SUM(D18:D18)</f>
        <v>522.57000000000005</v>
      </c>
      <c r="E17" s="48" t="s">
        <v>41</v>
      </c>
      <c r="F17" s="49" t="s">
        <v>42</v>
      </c>
    </row>
    <row r="18" spans="1:8" s="41" customFormat="1" x14ac:dyDescent="0.2">
      <c r="A18" s="52"/>
      <c r="B18" s="420" t="s">
        <v>349</v>
      </c>
      <c r="C18" s="421"/>
      <c r="D18" s="53">
        <f>171.72 + 350.85</f>
        <v>522.57000000000005</v>
      </c>
      <c r="E18" s="46"/>
      <c r="F18" s="40"/>
      <c r="G18" s="54"/>
    </row>
    <row r="19" spans="1:8" s="41" customFormat="1" ht="15.75" customHeight="1" x14ac:dyDescent="0.2">
      <c r="A19" s="410"/>
      <c r="B19" s="411"/>
      <c r="C19" s="411"/>
      <c r="D19" s="411"/>
      <c r="E19" s="412"/>
      <c r="F19" s="40"/>
    </row>
    <row r="20" spans="1:8" s="51" customFormat="1" ht="16.5" customHeight="1" x14ac:dyDescent="0.2">
      <c r="A20" s="416" t="s">
        <v>48</v>
      </c>
      <c r="B20" s="417"/>
      <c r="C20" s="417"/>
      <c r="D20" s="75">
        <f>SUM(D21:D21)</f>
        <v>988.85800000000017</v>
      </c>
      <c r="E20" s="48" t="s">
        <v>45</v>
      </c>
      <c r="F20" s="49" t="s">
        <v>42</v>
      </c>
    </row>
    <row r="21" spans="1:8" s="41" customFormat="1" ht="15" customHeight="1" x14ac:dyDescent="0.2">
      <c r="A21" s="106"/>
      <c r="B21" s="413" t="s">
        <v>328</v>
      </c>
      <c r="C21" s="415"/>
      <c r="D21" s="58">
        <f>(1739.13-978.47)*1.3</f>
        <v>988.85800000000017</v>
      </c>
      <c r="E21" s="59"/>
      <c r="F21" s="40"/>
    </row>
    <row r="22" spans="1:8" s="41" customFormat="1" ht="15.75" customHeight="1" x14ac:dyDescent="0.2">
      <c r="A22" s="410"/>
      <c r="B22" s="411"/>
      <c r="C22" s="411"/>
      <c r="D22" s="411"/>
      <c r="E22" s="412"/>
      <c r="F22" s="40"/>
    </row>
    <row r="23" spans="1:8" s="51" customFormat="1" ht="16.5" customHeight="1" x14ac:dyDescent="0.2">
      <c r="A23" s="439" t="s">
        <v>49</v>
      </c>
      <c r="B23" s="440"/>
      <c r="C23" s="440"/>
      <c r="D23" s="76">
        <f>SUM(D24:D30)</f>
        <v>536.63479999999993</v>
      </c>
      <c r="E23" s="48" t="s">
        <v>41</v>
      </c>
      <c r="F23" s="49" t="s">
        <v>42</v>
      </c>
      <c r="G23" s="111"/>
      <c r="H23" s="110"/>
    </row>
    <row r="24" spans="1:8" s="41" customFormat="1" ht="15" customHeight="1" x14ac:dyDescent="0.2">
      <c r="A24" s="52" t="s">
        <v>352</v>
      </c>
      <c r="B24" s="420" t="s">
        <v>333</v>
      </c>
      <c r="C24" s="421"/>
      <c r="D24" s="53">
        <f>(0.4*12.78) + (0.25*12.2)</f>
        <v>8.161999999999999</v>
      </c>
      <c r="E24" s="46"/>
      <c r="F24" s="40"/>
      <c r="G24" s="109"/>
      <c r="H24" s="108"/>
    </row>
    <row r="25" spans="1:8" s="41" customFormat="1" ht="15" customHeight="1" x14ac:dyDescent="0.2">
      <c r="A25" s="104" t="s">
        <v>218</v>
      </c>
      <c r="B25" s="413" t="s">
        <v>329</v>
      </c>
      <c r="C25" s="414"/>
      <c r="D25" s="119">
        <f>(3.4*18.4) + (3.58*20.41) + (3.5*30.9*2) + (4.6*3.65*3) +(3.5*4.6) + (2.6*4.6) + (0.6*4.6*2)</f>
        <v>435.87779999999998</v>
      </c>
      <c r="E25" s="46"/>
      <c r="F25" s="40"/>
      <c r="G25" s="109"/>
      <c r="H25" s="108"/>
    </row>
    <row r="26" spans="1:8" s="41" customFormat="1" ht="15" customHeight="1" x14ac:dyDescent="0.2">
      <c r="A26" s="104" t="s">
        <v>87</v>
      </c>
      <c r="B26" s="413" t="s">
        <v>347</v>
      </c>
      <c r="C26" s="414"/>
      <c r="D26" s="119">
        <f>5.6*4.6</f>
        <v>25.759999999999998</v>
      </c>
      <c r="E26" s="46"/>
      <c r="F26" s="40"/>
      <c r="G26" s="109"/>
      <c r="H26" s="108"/>
    </row>
    <row r="27" spans="1:8" s="41" customFormat="1" ht="15" customHeight="1" x14ac:dyDescent="0.2">
      <c r="A27" s="104" t="s">
        <v>369</v>
      </c>
      <c r="B27" s="413" t="s">
        <v>370</v>
      </c>
      <c r="C27" s="414"/>
      <c r="D27" s="53">
        <f>(1.3*0.15) + (2*2*0.1) + (1.2*0.1*3)</f>
        <v>0.95499999999999996</v>
      </c>
      <c r="E27" s="46"/>
      <c r="F27" s="40"/>
      <c r="G27" s="109"/>
      <c r="H27" s="108"/>
    </row>
    <row r="28" spans="1:8" s="41" customFormat="1" ht="15" customHeight="1" x14ac:dyDescent="0.2">
      <c r="A28" s="104" t="s">
        <v>330</v>
      </c>
      <c r="B28" s="413" t="s">
        <v>331</v>
      </c>
      <c r="C28" s="414"/>
      <c r="D28" s="119">
        <f>(0.8*17)</f>
        <v>13.600000000000001</v>
      </c>
      <c r="E28" s="46"/>
      <c r="F28" s="40"/>
      <c r="G28" s="109"/>
      <c r="H28" s="108"/>
    </row>
    <row r="29" spans="1:8" s="41" customFormat="1" ht="15" customHeight="1" x14ac:dyDescent="0.2">
      <c r="A29" s="104" t="s">
        <v>334</v>
      </c>
      <c r="B29" s="153" t="s">
        <v>335</v>
      </c>
      <c r="C29" s="154"/>
      <c r="D29" s="119">
        <f>(2.8*3.6*2) + (2.95*4.2*2)</f>
        <v>44.94</v>
      </c>
      <c r="E29" s="46"/>
      <c r="F29" s="40"/>
      <c r="G29" s="109"/>
      <c r="H29" s="108"/>
    </row>
    <row r="30" spans="1:8" s="41" customFormat="1" ht="15" customHeight="1" x14ac:dyDescent="0.2">
      <c r="A30" s="151" t="s">
        <v>332</v>
      </c>
      <c r="B30" s="413" t="s">
        <v>339</v>
      </c>
      <c r="C30" s="415"/>
      <c r="D30" s="119">
        <f>(5.2*0.55) + (0.7*6.4)</f>
        <v>7.34</v>
      </c>
      <c r="E30" s="46"/>
      <c r="F30" s="40"/>
      <c r="G30" s="109"/>
      <c r="H30" s="108"/>
    </row>
    <row r="31" spans="1:8" s="41" customFormat="1" x14ac:dyDescent="0.2">
      <c r="A31" s="410"/>
      <c r="B31" s="411"/>
      <c r="C31" s="411"/>
      <c r="D31" s="411"/>
      <c r="E31" s="412"/>
      <c r="F31" s="40"/>
      <c r="G31" s="54"/>
    </row>
    <row r="32" spans="1:8" s="41" customFormat="1" ht="15.75" customHeight="1" x14ac:dyDescent="0.2">
      <c r="A32" s="439" t="s">
        <v>149</v>
      </c>
      <c r="B32" s="440"/>
      <c r="C32" s="440"/>
      <c r="D32" s="75">
        <f>SUM(D33:D39)</f>
        <v>131.2638</v>
      </c>
      <c r="E32" s="48" t="s">
        <v>45</v>
      </c>
      <c r="F32" s="40" t="s">
        <v>42</v>
      </c>
    </row>
    <row r="33" spans="1:7" s="41" customFormat="1" ht="15" customHeight="1" x14ac:dyDescent="0.2">
      <c r="A33" s="52" t="s">
        <v>352</v>
      </c>
      <c r="B33" s="420" t="s">
        <v>336</v>
      </c>
      <c r="C33" s="421"/>
      <c r="D33" s="53">
        <f>(1.87*0.4) + (17.47*0.15)</f>
        <v>3.3685</v>
      </c>
      <c r="E33" s="46"/>
      <c r="F33" s="40"/>
      <c r="G33" s="54"/>
    </row>
    <row r="34" spans="1:7" s="41" customFormat="1" x14ac:dyDescent="0.2">
      <c r="A34" s="104" t="s">
        <v>218</v>
      </c>
      <c r="B34" s="413" t="s">
        <v>345</v>
      </c>
      <c r="C34" s="414"/>
      <c r="D34" s="53">
        <f>(18.01*3.75) + (1.04*20.41) + (0.06*2*4.6)</f>
        <v>89.315900000000013</v>
      </c>
      <c r="E34" s="46"/>
      <c r="F34" s="40"/>
      <c r="G34" s="54"/>
    </row>
    <row r="35" spans="1:7" s="41" customFormat="1" x14ac:dyDescent="0.2">
      <c r="A35" s="104" t="s">
        <v>87</v>
      </c>
      <c r="B35" s="413" t="s">
        <v>346</v>
      </c>
      <c r="C35" s="414"/>
      <c r="D35" s="53">
        <f>(59.6*2*0.25) + (0.789*4.6)</f>
        <v>33.429400000000001</v>
      </c>
      <c r="E35" s="46"/>
      <c r="F35" s="40"/>
      <c r="G35" s="54"/>
    </row>
    <row r="36" spans="1:7" s="41" customFormat="1" x14ac:dyDescent="0.2">
      <c r="A36" s="104" t="s">
        <v>369</v>
      </c>
      <c r="B36" s="413" t="s">
        <v>371</v>
      </c>
      <c r="C36" s="414"/>
      <c r="D36" s="53">
        <f>(0.1*0.15) + (0.38*0.1*2) + (0.09*0.1*3)</f>
        <v>0.11800000000000001</v>
      </c>
      <c r="E36" s="46"/>
      <c r="F36" s="40"/>
      <c r="G36" s="54"/>
    </row>
    <row r="37" spans="1:7" s="41" customFormat="1" x14ac:dyDescent="0.2">
      <c r="A37" s="104" t="s">
        <v>330</v>
      </c>
      <c r="B37" s="413" t="s">
        <v>337</v>
      </c>
      <c r="C37" s="414"/>
      <c r="D37" s="53">
        <f>0.04*17</f>
        <v>0.68</v>
      </c>
      <c r="E37" s="46"/>
      <c r="F37" s="40"/>
      <c r="G37" s="54"/>
    </row>
    <row r="38" spans="1:7" s="41" customFormat="1" x14ac:dyDescent="0.2">
      <c r="A38" s="104" t="s">
        <v>334</v>
      </c>
      <c r="B38" s="413" t="s">
        <v>338</v>
      </c>
      <c r="C38" s="414"/>
      <c r="D38" s="53">
        <f>(0.58*2.8*2) + (0.15*1.7)</f>
        <v>3.5029999999999997</v>
      </c>
      <c r="E38" s="46"/>
      <c r="F38" s="40"/>
      <c r="G38" s="54"/>
    </row>
    <row r="39" spans="1:7" s="41" customFormat="1" x14ac:dyDescent="0.2">
      <c r="A39" s="152" t="s">
        <v>332</v>
      </c>
      <c r="B39" s="413" t="s">
        <v>340</v>
      </c>
      <c r="C39" s="414"/>
      <c r="D39" s="53">
        <f>(0.87*0.55) + (0.15*2.47)</f>
        <v>0.84899999999999998</v>
      </c>
      <c r="E39" s="46"/>
      <c r="F39" s="40"/>
      <c r="G39" s="54"/>
    </row>
    <row r="40" spans="1:7" s="41" customFormat="1" ht="15.75" customHeight="1" x14ac:dyDescent="0.2">
      <c r="A40" s="410"/>
      <c r="B40" s="411"/>
      <c r="C40" s="411"/>
      <c r="D40" s="411"/>
      <c r="E40" s="412"/>
      <c r="F40" s="40"/>
      <c r="G40" s="54"/>
    </row>
    <row r="41" spans="1:7" s="41" customFormat="1" ht="15.75" customHeight="1" x14ac:dyDescent="0.2">
      <c r="A41" s="416" t="s">
        <v>745</v>
      </c>
      <c r="B41" s="417"/>
      <c r="C41" s="417"/>
      <c r="D41" s="76">
        <f>SUM(D42:D42)</f>
        <v>14438.599999999999</v>
      </c>
      <c r="E41" s="48" t="s">
        <v>51</v>
      </c>
      <c r="F41" s="40"/>
    </row>
    <row r="42" spans="1:7" s="51" customFormat="1" ht="16.5" customHeight="1" x14ac:dyDescent="0.2">
      <c r="A42" s="52"/>
      <c r="B42" s="413" t="s">
        <v>875</v>
      </c>
      <c r="C42" s="415"/>
      <c r="D42" s="61">
        <f>131.26*110</f>
        <v>14438.599999999999</v>
      </c>
      <c r="E42" s="59"/>
      <c r="F42" s="49"/>
      <c r="G42" s="62"/>
    </row>
    <row r="43" spans="1:7" s="41" customFormat="1" ht="15.75" customHeight="1" x14ac:dyDescent="0.2">
      <c r="A43" s="410"/>
      <c r="B43" s="411"/>
      <c r="C43" s="411"/>
      <c r="D43" s="411"/>
      <c r="E43" s="412"/>
      <c r="F43" s="40"/>
    </row>
    <row r="44" spans="1:7" s="41" customFormat="1" ht="15.75" customHeight="1" x14ac:dyDescent="0.2">
      <c r="A44" s="422" t="s">
        <v>270</v>
      </c>
      <c r="B44" s="423"/>
      <c r="C44" s="423"/>
      <c r="D44" s="75">
        <f>SUM(D45:D48)</f>
        <v>121.964</v>
      </c>
      <c r="E44" s="48" t="s">
        <v>45</v>
      </c>
      <c r="F44" s="40" t="s">
        <v>42</v>
      </c>
    </row>
    <row r="45" spans="1:7" s="41" customFormat="1" ht="15.75" customHeight="1" x14ac:dyDescent="0.2">
      <c r="A45" s="52" t="s">
        <v>352</v>
      </c>
      <c r="B45" s="413" t="s">
        <v>341</v>
      </c>
      <c r="C45" s="415"/>
      <c r="D45" s="65">
        <f>(20*0.05)</f>
        <v>1</v>
      </c>
      <c r="E45" s="64"/>
      <c r="F45" s="40"/>
    </row>
    <row r="46" spans="1:7" s="41" customFormat="1" ht="24" customHeight="1" x14ac:dyDescent="0.2">
      <c r="A46" s="155" t="s">
        <v>348</v>
      </c>
      <c r="B46" s="413" t="s">
        <v>342</v>
      </c>
      <c r="C46" s="414"/>
      <c r="D46" s="147">
        <f>((4.08*7.45) + (8*2*1.87))*2</f>
        <v>120.63200000000001</v>
      </c>
      <c r="E46" s="64"/>
      <c r="F46" s="40"/>
    </row>
    <row r="47" spans="1:7" s="41" customFormat="1" ht="15.75" customHeight="1" x14ac:dyDescent="0.2">
      <c r="A47" s="104" t="s">
        <v>334</v>
      </c>
      <c r="B47" s="413" t="s">
        <v>343</v>
      </c>
      <c r="C47" s="414"/>
      <c r="D47" s="147">
        <f>(1.92*0.05*2)</f>
        <v>0.192</v>
      </c>
      <c r="E47" s="64"/>
      <c r="F47" s="40"/>
    </row>
    <row r="48" spans="1:7" s="41" customFormat="1" ht="15.75" customHeight="1" x14ac:dyDescent="0.2">
      <c r="A48" s="152" t="s">
        <v>332</v>
      </c>
      <c r="B48" s="413" t="s">
        <v>344</v>
      </c>
      <c r="C48" s="414"/>
      <c r="D48" s="147">
        <f>2.8*0.05</f>
        <v>0.13999999999999999</v>
      </c>
      <c r="E48" s="64"/>
      <c r="F48" s="40"/>
    </row>
    <row r="49" spans="1:7" s="41" customFormat="1" ht="15.75" customHeight="1" x14ac:dyDescent="0.2">
      <c r="A49" s="410"/>
      <c r="B49" s="411"/>
      <c r="C49" s="411"/>
      <c r="D49" s="411"/>
      <c r="E49" s="412"/>
      <c r="F49" s="40"/>
    </row>
    <row r="50" spans="1:7" s="41" customFormat="1" ht="15.75" customHeight="1" x14ac:dyDescent="0.2">
      <c r="A50" s="422" t="s">
        <v>8</v>
      </c>
      <c r="B50" s="423"/>
      <c r="C50" s="423"/>
      <c r="D50" s="75">
        <f>SUM(D51:D51)</f>
        <v>63.099999999999994</v>
      </c>
      <c r="E50" s="66" t="s">
        <v>41</v>
      </c>
      <c r="F50" s="40" t="s">
        <v>42</v>
      </c>
    </row>
    <row r="51" spans="1:7" s="41" customFormat="1" ht="15.75" customHeight="1" x14ac:dyDescent="0.2">
      <c r="A51" s="63"/>
      <c r="B51" s="413" t="s">
        <v>350</v>
      </c>
      <c r="C51" s="415"/>
      <c r="D51" s="65">
        <f>234.82-171.72</f>
        <v>63.099999999999994</v>
      </c>
      <c r="E51" s="64"/>
      <c r="F51" s="40"/>
    </row>
    <row r="52" spans="1:7" s="41" customFormat="1" ht="15.75" customHeight="1" x14ac:dyDescent="0.2">
      <c r="A52" s="410"/>
      <c r="B52" s="411"/>
      <c r="C52" s="411"/>
      <c r="D52" s="411"/>
      <c r="E52" s="412"/>
      <c r="F52" s="40"/>
    </row>
    <row r="53" spans="1:7" s="41" customFormat="1" x14ac:dyDescent="0.2">
      <c r="A53" s="422" t="s">
        <v>52</v>
      </c>
      <c r="B53" s="423"/>
      <c r="C53" s="423"/>
      <c r="D53" s="75">
        <f>SUM(D54:D54)</f>
        <v>63.790499999999994</v>
      </c>
      <c r="E53" s="48" t="s">
        <v>45</v>
      </c>
      <c r="F53" s="40" t="s">
        <v>42</v>
      </c>
    </row>
    <row r="54" spans="1:7" s="51" customFormat="1" ht="16.5" customHeight="1" x14ac:dyDescent="0.2">
      <c r="A54" s="63" t="s">
        <v>87</v>
      </c>
      <c r="B54" s="413" t="s">
        <v>351</v>
      </c>
      <c r="C54" s="415"/>
      <c r="D54" s="65">
        <f>(2.15*4.6*6.45)</f>
        <v>63.790499999999994</v>
      </c>
      <c r="E54" s="64"/>
      <c r="F54" s="49"/>
    </row>
    <row r="55" spans="1:7" s="41" customFormat="1" ht="15.75" customHeight="1" x14ac:dyDescent="0.2">
      <c r="A55" s="410"/>
      <c r="B55" s="411"/>
      <c r="C55" s="411"/>
      <c r="D55" s="411"/>
      <c r="E55" s="412"/>
      <c r="F55" s="40"/>
      <c r="G55" s="54"/>
    </row>
    <row r="56" spans="1:7" s="41" customFormat="1" x14ac:dyDescent="0.2">
      <c r="A56" s="418" t="s">
        <v>53</v>
      </c>
      <c r="B56" s="419"/>
      <c r="C56" s="419"/>
      <c r="D56" s="75">
        <f>SUM(D57:D63)</f>
        <v>801.72919999999988</v>
      </c>
      <c r="E56" s="66" t="s">
        <v>41</v>
      </c>
      <c r="F56" s="40" t="s">
        <v>42</v>
      </c>
    </row>
    <row r="57" spans="1:7" s="51" customFormat="1" ht="15" customHeight="1" x14ac:dyDescent="0.2">
      <c r="A57" s="52" t="s">
        <v>352</v>
      </c>
      <c r="B57" s="420" t="s">
        <v>355</v>
      </c>
      <c r="C57" s="421"/>
      <c r="D57" s="53">
        <f>(12.2*0.25) + (12.8*0.4) + 1.87 + 17.47 + 19.35</f>
        <v>46.86</v>
      </c>
      <c r="E57" s="46"/>
      <c r="F57" s="49"/>
    </row>
    <row r="58" spans="1:7" s="41" customFormat="1" ht="24.75" customHeight="1" x14ac:dyDescent="0.2">
      <c r="A58" s="104" t="s">
        <v>218</v>
      </c>
      <c r="B58" s="420" t="s">
        <v>354</v>
      </c>
      <c r="C58" s="431"/>
      <c r="D58" s="53">
        <f>(3.4*18.4) + (3.57*20.41) + (3.5*4.6) + (3.57*4.6) + (3.7*4.6) + (3.65*2*7.7) + (3.95*2*7.45) + (3.5*7.45) + (3.75*7.95) + (7.97*2)</f>
        <v>371.85820000000001</v>
      </c>
      <c r="E58" s="46"/>
      <c r="F58" s="40"/>
      <c r="G58" s="54"/>
    </row>
    <row r="59" spans="1:7" s="41" customFormat="1" ht="15.75" customHeight="1" x14ac:dyDescent="0.2">
      <c r="A59" s="104" t="s">
        <v>87</v>
      </c>
      <c r="B59" s="420" t="s">
        <v>353</v>
      </c>
      <c r="C59" s="431"/>
      <c r="D59" s="53">
        <f>(1.2*4.8) + (1.48*6.8) + (8.26*7.95*2) + (8*7.45*2) + 31.5 + (5.84*4.6)</f>
        <v>324.72199999999998</v>
      </c>
      <c r="E59" s="46"/>
      <c r="F59" s="40"/>
      <c r="G59" s="54"/>
    </row>
    <row r="60" spans="1:7" s="41" customFormat="1" ht="15.75" customHeight="1" x14ac:dyDescent="0.2">
      <c r="A60" s="104" t="s">
        <v>369</v>
      </c>
      <c r="B60" s="420" t="s">
        <v>372</v>
      </c>
      <c r="C60" s="431"/>
      <c r="D60" s="53">
        <f>(1.3*0.15) + (0.1*2) + (2*0.1*2) + (0.37*2*2) + (0.09*2*3) + (1.2*0.1*3)</f>
        <v>3.1749999999999998</v>
      </c>
      <c r="E60" s="56"/>
      <c r="F60" s="40"/>
      <c r="G60" s="54"/>
    </row>
    <row r="61" spans="1:7" s="41" customFormat="1" ht="15.75" customHeight="1" x14ac:dyDescent="0.2">
      <c r="A61" s="104" t="s">
        <v>330</v>
      </c>
      <c r="B61" s="420" t="s">
        <v>356</v>
      </c>
      <c r="C61" s="431"/>
      <c r="D61" s="53">
        <f>(1*17)</f>
        <v>17</v>
      </c>
      <c r="E61" s="56"/>
      <c r="F61" s="40"/>
      <c r="G61" s="54"/>
    </row>
    <row r="62" spans="1:7" s="41" customFormat="1" ht="15.75" customHeight="1" x14ac:dyDescent="0.2">
      <c r="A62" s="104" t="s">
        <v>334</v>
      </c>
      <c r="B62" s="420" t="s">
        <v>357</v>
      </c>
      <c r="C62" s="421"/>
      <c r="D62" s="53">
        <f>(3.6*2.79) + (4.2*2.95) + 0.58 + 1.12 + 1.7</f>
        <v>25.834</v>
      </c>
      <c r="E62" s="56"/>
      <c r="F62" s="40"/>
      <c r="G62" s="54"/>
    </row>
    <row r="63" spans="1:7" s="41" customFormat="1" ht="15.75" customHeight="1" x14ac:dyDescent="0.2">
      <c r="A63" s="152" t="s">
        <v>332</v>
      </c>
      <c r="B63" s="420" t="s">
        <v>358</v>
      </c>
      <c r="C63" s="431"/>
      <c r="D63" s="124">
        <f>(5.2*0.55) + (6.4*0.7) + 0.87 + 1.6 + 2.47</f>
        <v>12.28</v>
      </c>
      <c r="E63" s="46"/>
      <c r="F63" s="40"/>
      <c r="G63" s="54"/>
    </row>
    <row r="64" spans="1:7" s="41" customFormat="1" ht="15.75" customHeight="1" x14ac:dyDescent="0.2">
      <c r="A64" s="410"/>
      <c r="B64" s="411"/>
      <c r="C64" s="411"/>
      <c r="D64" s="411"/>
      <c r="E64" s="412"/>
      <c r="F64" s="40"/>
      <c r="G64" s="54"/>
    </row>
    <row r="65" spans="1:7" s="41" customFormat="1" ht="15.75" customHeight="1" x14ac:dyDescent="0.2">
      <c r="A65" s="416" t="s">
        <v>742</v>
      </c>
      <c r="B65" s="426"/>
      <c r="C65" s="426"/>
      <c r="D65" s="68">
        <f>SUM(D66:D66)</f>
        <v>2.8</v>
      </c>
      <c r="E65" s="48" t="s">
        <v>55</v>
      </c>
      <c r="F65" s="40" t="s">
        <v>42</v>
      </c>
      <c r="G65" s="54"/>
    </row>
    <row r="66" spans="1:7" s="41" customFormat="1" ht="15.75" customHeight="1" x14ac:dyDescent="0.2">
      <c r="A66" s="69"/>
      <c r="B66" s="424">
        <v>2.8</v>
      </c>
      <c r="C66" s="427"/>
      <c r="D66" s="58">
        <v>2.8</v>
      </c>
      <c r="E66" s="59"/>
      <c r="F66" s="40"/>
      <c r="G66" s="54"/>
    </row>
    <row r="67" spans="1:7" s="41" customFormat="1" ht="15.75" customHeight="1" x14ac:dyDescent="0.2">
      <c r="A67" s="428"/>
      <c r="B67" s="429"/>
      <c r="C67" s="429"/>
      <c r="D67" s="429"/>
      <c r="E67" s="430"/>
      <c r="F67" s="40"/>
      <c r="G67" s="54"/>
    </row>
    <row r="68" spans="1:7" s="41" customFormat="1" ht="15.75" customHeight="1" x14ac:dyDescent="0.2">
      <c r="A68" s="416" t="s">
        <v>366</v>
      </c>
      <c r="B68" s="426"/>
      <c r="C68" s="426"/>
      <c r="D68" s="68">
        <f>SUM(D69:D69)</f>
        <v>297.072</v>
      </c>
      <c r="E68" s="48" t="s">
        <v>41</v>
      </c>
      <c r="F68" s="40" t="s">
        <v>42</v>
      </c>
      <c r="G68" s="54"/>
    </row>
    <row r="69" spans="1:7" s="41" customFormat="1" ht="15.75" customHeight="1" x14ac:dyDescent="0.2">
      <c r="A69" s="52" t="s">
        <v>368</v>
      </c>
      <c r="B69" s="424" t="s">
        <v>367</v>
      </c>
      <c r="C69" s="427"/>
      <c r="D69" s="58">
        <f>20.63*14.4</f>
        <v>297.072</v>
      </c>
      <c r="E69" s="59"/>
      <c r="F69" s="40"/>
      <c r="G69" s="54"/>
    </row>
    <row r="70" spans="1:7" s="41" customFormat="1" ht="15.75" customHeight="1" x14ac:dyDescent="0.2">
      <c r="A70" s="428"/>
      <c r="B70" s="429"/>
      <c r="C70" s="429"/>
      <c r="D70" s="429"/>
      <c r="E70" s="430"/>
      <c r="F70" s="40"/>
      <c r="G70" s="54"/>
    </row>
    <row r="71" spans="1:7" x14ac:dyDescent="0.25">
      <c r="A71" s="416" t="s">
        <v>101</v>
      </c>
      <c r="B71" s="426"/>
      <c r="C71" s="426"/>
      <c r="D71" s="68">
        <f>SUM(D72:D72)</f>
        <v>268.416</v>
      </c>
      <c r="E71" s="48" t="s">
        <v>41</v>
      </c>
      <c r="F71" s="37" t="s">
        <v>42</v>
      </c>
    </row>
    <row r="72" spans="1:7" x14ac:dyDescent="0.25">
      <c r="A72" s="52" t="s">
        <v>368</v>
      </c>
      <c r="B72" s="424" t="s">
        <v>365</v>
      </c>
      <c r="C72" s="427"/>
      <c r="D72" s="58">
        <f>18.64*14.4</f>
        <v>268.416</v>
      </c>
      <c r="E72" s="59"/>
    </row>
    <row r="73" spans="1:7" x14ac:dyDescent="0.25">
      <c r="A73" s="428"/>
      <c r="B73" s="429"/>
      <c r="C73" s="429"/>
      <c r="D73" s="429"/>
      <c r="E73" s="430"/>
    </row>
    <row r="74" spans="1:7" x14ac:dyDescent="0.25">
      <c r="A74" s="416" t="s">
        <v>363</v>
      </c>
      <c r="B74" s="426"/>
      <c r="C74" s="426"/>
      <c r="D74" s="68">
        <f>SUM(D75:D75)</f>
        <v>25.632000000000001</v>
      </c>
      <c r="E74" s="48" t="s">
        <v>45</v>
      </c>
      <c r="F74" s="37" t="s">
        <v>42</v>
      </c>
    </row>
    <row r="75" spans="1:7" x14ac:dyDescent="0.25">
      <c r="A75" s="52" t="s">
        <v>368</v>
      </c>
      <c r="B75" s="424" t="s">
        <v>364</v>
      </c>
      <c r="C75" s="427"/>
      <c r="D75" s="58">
        <f>1.78*14.4</f>
        <v>25.632000000000001</v>
      </c>
      <c r="E75" s="59"/>
    </row>
    <row r="76" spans="1:7" x14ac:dyDescent="0.25">
      <c r="A76" s="428"/>
      <c r="B76" s="429"/>
      <c r="C76" s="429"/>
      <c r="D76" s="429"/>
      <c r="E76" s="430"/>
    </row>
    <row r="77" spans="1:7" x14ac:dyDescent="0.25">
      <c r="A77" s="416" t="s">
        <v>361</v>
      </c>
      <c r="B77" s="426"/>
      <c r="C77" s="426"/>
      <c r="D77" s="68">
        <f>SUM(D78:D78)</f>
        <v>2.0160000000000005</v>
      </c>
      <c r="E77" s="48" t="s">
        <v>45</v>
      </c>
      <c r="F77" s="37" t="s">
        <v>42</v>
      </c>
    </row>
    <row r="78" spans="1:7" x14ac:dyDescent="0.25">
      <c r="A78" s="52" t="s">
        <v>368</v>
      </c>
      <c r="B78" s="424" t="s">
        <v>362</v>
      </c>
      <c r="C78" s="427"/>
      <c r="D78" s="58">
        <f>0.14*14.4</f>
        <v>2.0160000000000005</v>
      </c>
      <c r="E78" s="59"/>
    </row>
    <row r="79" spans="1:7" x14ac:dyDescent="0.25">
      <c r="A79" s="428"/>
      <c r="B79" s="429"/>
      <c r="C79" s="429"/>
      <c r="D79" s="429"/>
      <c r="E79" s="430"/>
    </row>
    <row r="80" spans="1:7" x14ac:dyDescent="0.25">
      <c r="A80" s="416" t="s">
        <v>373</v>
      </c>
      <c r="B80" s="426"/>
      <c r="C80" s="426"/>
      <c r="D80" s="68">
        <f>SUM(D81:D81)</f>
        <v>56.07</v>
      </c>
      <c r="E80" s="48" t="s">
        <v>55</v>
      </c>
      <c r="F80" s="37" t="s">
        <v>42</v>
      </c>
    </row>
    <row r="81" spans="1:6" x14ac:dyDescent="0.25">
      <c r="A81" s="69"/>
      <c r="B81" s="424">
        <v>56.07</v>
      </c>
      <c r="C81" s="427"/>
      <c r="D81" s="58">
        <f>56.07</f>
        <v>56.07</v>
      </c>
      <c r="E81" s="59"/>
    </row>
    <row r="82" spans="1:6" x14ac:dyDescent="0.25">
      <c r="A82" s="428"/>
      <c r="B82" s="429"/>
      <c r="C82" s="429"/>
      <c r="D82" s="429"/>
      <c r="E82" s="430"/>
    </row>
    <row r="83" spans="1:6" x14ac:dyDescent="0.25">
      <c r="A83" s="416" t="s">
        <v>359</v>
      </c>
      <c r="B83" s="426"/>
      <c r="C83" s="426"/>
      <c r="D83" s="68">
        <f>SUM(D84:D84)</f>
        <v>86.112000000000009</v>
      </c>
      <c r="E83" s="48" t="s">
        <v>45</v>
      </c>
      <c r="F83" s="37" t="s">
        <v>42</v>
      </c>
    </row>
    <row r="84" spans="1:6" x14ac:dyDescent="0.25">
      <c r="A84" s="52" t="s">
        <v>368</v>
      </c>
      <c r="B84" s="424" t="s">
        <v>360</v>
      </c>
      <c r="C84" s="427"/>
      <c r="D84" s="58">
        <f>5.98*14.4</f>
        <v>86.112000000000009</v>
      </c>
      <c r="E84" s="59"/>
    </row>
    <row r="85" spans="1:6" x14ac:dyDescent="0.25">
      <c r="A85" s="428"/>
      <c r="B85" s="429"/>
      <c r="C85" s="429"/>
      <c r="D85" s="429"/>
      <c r="E85" s="430"/>
    </row>
    <row r="86" spans="1:6" x14ac:dyDescent="0.25">
      <c r="A86" s="416" t="s">
        <v>261</v>
      </c>
      <c r="B86" s="426"/>
      <c r="C86" s="426"/>
      <c r="D86" s="68">
        <f>SUM(D87:D87)</f>
        <v>67.900000000000006</v>
      </c>
      <c r="E86" s="48" t="s">
        <v>55</v>
      </c>
      <c r="F86" s="37" t="s">
        <v>42</v>
      </c>
    </row>
    <row r="87" spans="1:6" x14ac:dyDescent="0.25">
      <c r="A87" s="69"/>
      <c r="B87" s="424">
        <v>67.900000000000006</v>
      </c>
      <c r="C87" s="427"/>
      <c r="D87" s="58">
        <f>67.9</f>
        <v>67.900000000000006</v>
      </c>
      <c r="E87" s="59"/>
    </row>
    <row r="88" spans="1:6" x14ac:dyDescent="0.25">
      <c r="A88" s="428"/>
      <c r="B88" s="429"/>
      <c r="C88" s="429"/>
      <c r="D88" s="429"/>
      <c r="E88" s="430"/>
    </row>
  </sheetData>
  <mergeCells count="88">
    <mergeCell ref="A64:E64"/>
    <mergeCell ref="A55:E55"/>
    <mergeCell ref="A56:C56"/>
    <mergeCell ref="B57:C57"/>
    <mergeCell ref="B58:C58"/>
    <mergeCell ref="B59:C59"/>
    <mergeCell ref="B61:C61"/>
    <mergeCell ref="B62:C62"/>
    <mergeCell ref="B63:C63"/>
    <mergeCell ref="B60:C60"/>
    <mergeCell ref="B54:C54"/>
    <mergeCell ref="A41:C41"/>
    <mergeCell ref="B42:C42"/>
    <mergeCell ref="A43:E43"/>
    <mergeCell ref="A44:C44"/>
    <mergeCell ref="B45:C45"/>
    <mergeCell ref="B47:C47"/>
    <mergeCell ref="B46:C46"/>
    <mergeCell ref="B48:C48"/>
    <mergeCell ref="A49:E49"/>
    <mergeCell ref="A50:C50"/>
    <mergeCell ref="B51:C51"/>
    <mergeCell ref="A52:E52"/>
    <mergeCell ref="A53:C53"/>
    <mergeCell ref="A32:C32"/>
    <mergeCell ref="B33:C33"/>
    <mergeCell ref="B34:C34"/>
    <mergeCell ref="B39:C39"/>
    <mergeCell ref="A40:E40"/>
    <mergeCell ref="B37:C37"/>
    <mergeCell ref="B38:C38"/>
    <mergeCell ref="B35:C35"/>
    <mergeCell ref="B36:C36"/>
    <mergeCell ref="B24:C24"/>
    <mergeCell ref="B25:C25"/>
    <mergeCell ref="B28:C28"/>
    <mergeCell ref="B30:C30"/>
    <mergeCell ref="A31:E31"/>
    <mergeCell ref="B26:C26"/>
    <mergeCell ref="B27:C27"/>
    <mergeCell ref="A23:C23"/>
    <mergeCell ref="A12:E12"/>
    <mergeCell ref="A13:C13"/>
    <mergeCell ref="B14:C14"/>
    <mergeCell ref="B15:C15"/>
    <mergeCell ref="A16:E16"/>
    <mergeCell ref="A17:C17"/>
    <mergeCell ref="B18:C18"/>
    <mergeCell ref="A19:E19"/>
    <mergeCell ref="A20:C20"/>
    <mergeCell ref="B21:C21"/>
    <mergeCell ref="A22:E22"/>
    <mergeCell ref="B11:C11"/>
    <mergeCell ref="D1:E1"/>
    <mergeCell ref="A2:B2"/>
    <mergeCell ref="D2:E2"/>
    <mergeCell ref="A3:E3"/>
    <mergeCell ref="A4:C4"/>
    <mergeCell ref="A5:C5"/>
    <mergeCell ref="A6:C6"/>
    <mergeCell ref="B7:C7"/>
    <mergeCell ref="A8:E8"/>
    <mergeCell ref="A9:C9"/>
    <mergeCell ref="B10:C10"/>
    <mergeCell ref="A76:E76"/>
    <mergeCell ref="A68:C68"/>
    <mergeCell ref="B69:C69"/>
    <mergeCell ref="A70:E70"/>
    <mergeCell ref="A80:C80"/>
    <mergeCell ref="A71:C71"/>
    <mergeCell ref="B72:C72"/>
    <mergeCell ref="A73:E73"/>
    <mergeCell ref="A77:C77"/>
    <mergeCell ref="B78:C78"/>
    <mergeCell ref="A65:C65"/>
    <mergeCell ref="B66:C66"/>
    <mergeCell ref="A67:E67"/>
    <mergeCell ref="A74:C74"/>
    <mergeCell ref="B75:C75"/>
    <mergeCell ref="A86:C86"/>
    <mergeCell ref="B87:C87"/>
    <mergeCell ref="A88:E88"/>
    <mergeCell ref="A79:E79"/>
    <mergeCell ref="A83:C83"/>
    <mergeCell ref="B84:C84"/>
    <mergeCell ref="A85:E85"/>
    <mergeCell ref="B81:C81"/>
    <mergeCell ref="A82:E82"/>
  </mergeCells>
  <printOptions horizontalCentered="1"/>
  <pageMargins left="0.98425196850393704" right="0.98425196850393704" top="0.98425196850393704" bottom="0.98425196850393704" header="0.31496062992125984" footer="0.31496062992125984"/>
  <pageSetup paperSize="9" scale="75" orientation="portrait" verticalDpi="200" r:id="rId1"/>
  <headerFooter>
    <oddHeader>&amp;L&amp;G&amp;R&amp;G</oddHead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CF51E4-DEDA-4829-B174-A7FE6340FB30}">
  <sheetPr codeName="Planilha17"/>
  <dimension ref="A1:H172"/>
  <sheetViews>
    <sheetView view="pageBreakPreview" zoomScaleSheetLayoutView="100" workbookViewId="0"/>
  </sheetViews>
  <sheetFormatPr defaultRowHeight="15" x14ac:dyDescent="0.25"/>
  <cols>
    <col min="1" max="1" width="15.28515625" style="73" customWidth="1"/>
    <col min="2" max="2" width="30.7109375" style="38" customWidth="1"/>
    <col min="3" max="3" width="43.140625" style="38" customWidth="1"/>
    <col min="4" max="4" width="10.7109375" style="38" customWidth="1"/>
    <col min="5" max="5" width="7.7109375" style="38" customWidth="1"/>
    <col min="6" max="6" width="3.7109375" style="37" bestFit="1" customWidth="1"/>
    <col min="7" max="16384" width="9.140625" style="38"/>
  </cols>
  <sheetData>
    <row r="1" spans="1:7" x14ac:dyDescent="0.25">
      <c r="A1" s="156" t="s">
        <v>35</v>
      </c>
      <c r="B1" s="35"/>
      <c r="C1" s="36" t="s">
        <v>36</v>
      </c>
      <c r="D1" s="441" t="s">
        <v>37</v>
      </c>
      <c r="E1" s="442"/>
    </row>
    <row r="2" spans="1:7" s="39" customFormat="1" ht="24.75" customHeight="1" x14ac:dyDescent="0.2">
      <c r="A2" s="443" t="s">
        <v>57</v>
      </c>
      <c r="B2" s="444"/>
      <c r="C2" s="158" t="s">
        <v>377</v>
      </c>
      <c r="D2" s="445">
        <v>44424</v>
      </c>
      <c r="E2" s="446"/>
      <c r="F2" s="37"/>
    </row>
    <row r="3" spans="1:7" s="41" customFormat="1" x14ac:dyDescent="0.2">
      <c r="A3" s="410"/>
      <c r="B3" s="411"/>
      <c r="C3" s="411"/>
      <c r="D3" s="447"/>
      <c r="E3" s="448"/>
      <c r="F3" s="40"/>
    </row>
    <row r="4" spans="1:7" s="45" customFormat="1" ht="18" customHeight="1" x14ac:dyDescent="0.2">
      <c r="A4" s="449" t="s">
        <v>38</v>
      </c>
      <c r="B4" s="450"/>
      <c r="C4" s="450"/>
      <c r="D4" s="42" t="s">
        <v>39</v>
      </c>
      <c r="E4" s="43" t="s">
        <v>34</v>
      </c>
      <c r="F4" s="44"/>
    </row>
    <row r="5" spans="1:7" s="47" customFormat="1" ht="12.75" x14ac:dyDescent="0.2">
      <c r="A5" s="451"/>
      <c r="B5" s="452"/>
      <c r="C5" s="452"/>
      <c r="D5" s="74"/>
      <c r="E5" s="46"/>
      <c r="F5" s="40"/>
    </row>
    <row r="6" spans="1:7" s="51" customFormat="1" ht="16.5" customHeight="1" x14ac:dyDescent="0.2">
      <c r="A6" s="416" t="s">
        <v>40</v>
      </c>
      <c r="B6" s="417"/>
      <c r="C6" s="417"/>
      <c r="D6" s="75">
        <f>SUM(D7:D7)</f>
        <v>338.83000000000004</v>
      </c>
      <c r="E6" s="48" t="s">
        <v>41</v>
      </c>
      <c r="F6" s="49" t="s">
        <v>42</v>
      </c>
      <c r="G6" s="50" t="s">
        <v>43</v>
      </c>
    </row>
    <row r="7" spans="1:7" s="41" customFormat="1" ht="15.75" customHeight="1" x14ac:dyDescent="0.2">
      <c r="A7" s="52"/>
      <c r="B7" s="420" t="s">
        <v>459</v>
      </c>
      <c r="C7" s="421"/>
      <c r="D7" s="53">
        <f>332.81+(2.83*2) + 0.36</f>
        <v>338.83000000000004</v>
      </c>
      <c r="E7" s="46"/>
      <c r="F7" s="40"/>
      <c r="G7" s="54"/>
    </row>
    <row r="8" spans="1:7" s="41" customFormat="1" ht="15.75" customHeight="1" x14ac:dyDescent="0.2">
      <c r="A8" s="410"/>
      <c r="B8" s="411"/>
      <c r="C8" s="411"/>
      <c r="D8" s="411"/>
      <c r="E8" s="412"/>
      <c r="F8" s="40"/>
    </row>
    <row r="9" spans="1:7" s="51" customFormat="1" ht="16.5" customHeight="1" x14ac:dyDescent="0.2">
      <c r="A9" s="439" t="s">
        <v>44</v>
      </c>
      <c r="B9" s="440"/>
      <c r="C9" s="440"/>
      <c r="D9" s="76">
        <f>SUM(D10:D15)*1.05</f>
        <v>209.07237750000002</v>
      </c>
      <c r="E9" s="48" t="s">
        <v>45</v>
      </c>
      <c r="F9" s="49" t="s">
        <v>42</v>
      </c>
      <c r="G9" s="50" t="s">
        <v>43</v>
      </c>
    </row>
    <row r="10" spans="1:7" s="41" customFormat="1" ht="25.5" customHeight="1" x14ac:dyDescent="0.2">
      <c r="A10" s="106" t="s">
        <v>172</v>
      </c>
      <c r="B10" s="453" t="s">
        <v>378</v>
      </c>
      <c r="C10" s="454"/>
      <c r="D10" s="55">
        <f>(173.84*0.42)</f>
        <v>73.012799999999999</v>
      </c>
      <c r="E10" s="46"/>
      <c r="F10" s="40"/>
      <c r="G10" s="54"/>
    </row>
    <row r="11" spans="1:7" s="41" customFormat="1" ht="24" customHeight="1" x14ac:dyDescent="0.2">
      <c r="A11" s="106" t="s">
        <v>272</v>
      </c>
      <c r="B11" s="456" t="s">
        <v>380</v>
      </c>
      <c r="C11" s="457"/>
      <c r="D11" s="55">
        <f>(0.5*1.15*1.15) + (0.25*4.6) + (0.15*26) + (26.71*0.3)</f>
        <v>13.72425</v>
      </c>
      <c r="E11" s="56"/>
      <c r="F11" s="40"/>
      <c r="G11" s="54"/>
    </row>
    <row r="12" spans="1:7" s="41" customFormat="1" ht="15.75" customHeight="1" x14ac:dyDescent="0.2">
      <c r="A12" s="52" t="s">
        <v>417</v>
      </c>
      <c r="B12" s="455" t="s">
        <v>418</v>
      </c>
      <c r="C12" s="455"/>
      <c r="D12" s="105">
        <f>(5.48*9.18) + (2.83*2.85)</f>
        <v>58.371900000000004</v>
      </c>
      <c r="E12" s="46"/>
      <c r="F12" s="40"/>
      <c r="G12" s="54"/>
    </row>
    <row r="13" spans="1:7" s="41" customFormat="1" ht="15.75" customHeight="1" x14ac:dyDescent="0.2">
      <c r="A13" s="52" t="s">
        <v>416</v>
      </c>
      <c r="B13" s="457" t="s">
        <v>420</v>
      </c>
      <c r="C13" s="457"/>
      <c r="D13" s="55">
        <f>(2.84*2.57) + (5.88*2.85)</f>
        <v>24.056799999999999</v>
      </c>
      <c r="E13" s="46"/>
      <c r="F13" s="162"/>
      <c r="G13" s="54"/>
    </row>
    <row r="14" spans="1:7" s="41" customFormat="1" ht="15.75" customHeight="1" x14ac:dyDescent="0.2">
      <c r="A14" s="104" t="s">
        <v>431</v>
      </c>
      <c r="B14" s="456" t="s">
        <v>435</v>
      </c>
      <c r="C14" s="457"/>
      <c r="D14" s="105">
        <f>(0.54*17.2*2) + (4.8*1.08*2)</f>
        <v>28.944000000000003</v>
      </c>
      <c r="E14" s="46"/>
      <c r="F14" s="167"/>
      <c r="G14" s="54"/>
    </row>
    <row r="15" spans="1:7" s="41" customFormat="1" ht="37.5" customHeight="1" x14ac:dyDescent="0.2">
      <c r="A15" s="161" t="s">
        <v>432</v>
      </c>
      <c r="B15" s="459" t="s">
        <v>433</v>
      </c>
      <c r="C15" s="460"/>
      <c r="D15" s="55">
        <f>(0.36*0.93) + (0.28*2.4)</f>
        <v>1.0068000000000001</v>
      </c>
      <c r="E15" s="56"/>
      <c r="F15" s="167"/>
      <c r="G15" s="54"/>
    </row>
    <row r="16" spans="1:7" s="41" customFormat="1" ht="15.75" customHeight="1" x14ac:dyDescent="0.2">
      <c r="A16" s="410"/>
      <c r="B16" s="411"/>
      <c r="C16" s="411"/>
      <c r="D16" s="411"/>
      <c r="E16" s="412"/>
      <c r="F16" s="40"/>
    </row>
    <row r="17" spans="1:8" s="51" customFormat="1" ht="16.5" customHeight="1" x14ac:dyDescent="0.2">
      <c r="A17" s="439" t="s">
        <v>46</v>
      </c>
      <c r="B17" s="440"/>
      <c r="C17" s="440"/>
      <c r="D17" s="76">
        <f>SUM(D18:D23)</f>
        <v>158.10600000000002</v>
      </c>
      <c r="E17" s="48" t="s">
        <v>45</v>
      </c>
      <c r="F17" s="49" t="s">
        <v>42</v>
      </c>
      <c r="G17" s="57"/>
    </row>
    <row r="18" spans="1:8" s="41" customFormat="1" ht="25.5" customHeight="1" x14ac:dyDescent="0.2">
      <c r="A18" s="106" t="s">
        <v>172</v>
      </c>
      <c r="B18" s="413" t="s">
        <v>379</v>
      </c>
      <c r="C18" s="415"/>
      <c r="D18" s="55">
        <f>(173.84*0.42) -(0.42*0.04*18)</f>
        <v>72.710399999999993</v>
      </c>
      <c r="E18" s="46"/>
      <c r="F18" s="40"/>
      <c r="G18" s="54"/>
    </row>
    <row r="19" spans="1:8" s="41" customFormat="1" ht="25.5" customHeight="1" x14ac:dyDescent="0.2">
      <c r="A19" s="106" t="s">
        <v>272</v>
      </c>
      <c r="B19" s="420" t="s">
        <v>381</v>
      </c>
      <c r="C19" s="421"/>
      <c r="D19" s="55">
        <f>(0.25*4.6) + (0.15*26)</f>
        <v>5.05</v>
      </c>
      <c r="E19" s="56"/>
      <c r="F19" s="40"/>
      <c r="G19" s="54"/>
    </row>
    <row r="20" spans="1:8" s="41" customFormat="1" ht="15.75" customHeight="1" x14ac:dyDescent="0.2">
      <c r="A20" s="52" t="s">
        <v>417</v>
      </c>
      <c r="B20" s="421" t="s">
        <v>421</v>
      </c>
      <c r="C20" s="421"/>
      <c r="D20" s="105">
        <f>(5.48*9.18) - ((2.84*2.85)+(0.36*0.75))</f>
        <v>41.942400000000006</v>
      </c>
      <c r="E20" s="46"/>
      <c r="F20" s="40"/>
      <c r="G20" s="54"/>
    </row>
    <row r="21" spans="1:8" s="41" customFormat="1" ht="15.75" customHeight="1" x14ac:dyDescent="0.2">
      <c r="A21" s="52" t="s">
        <v>416</v>
      </c>
      <c r="B21" s="420" t="s">
        <v>422</v>
      </c>
      <c r="C21" s="431"/>
      <c r="D21" s="139">
        <f>(5.88*2.85) - ((0.36*0.93)+(2.84*2.57))</f>
        <v>9.1243999999999996</v>
      </c>
      <c r="E21" s="46"/>
      <c r="F21" s="40"/>
      <c r="G21" s="54"/>
    </row>
    <row r="22" spans="1:8" s="41" customFormat="1" ht="15.75" customHeight="1" x14ac:dyDescent="0.2">
      <c r="A22" s="104" t="s">
        <v>431</v>
      </c>
      <c r="B22" s="456" t="s">
        <v>436</v>
      </c>
      <c r="C22" s="457"/>
      <c r="D22" s="105">
        <f>(0.54*17.2*2) + (4.8*1.08*2)</f>
        <v>28.944000000000003</v>
      </c>
      <c r="E22" s="46"/>
      <c r="F22" s="40"/>
      <c r="G22" s="54"/>
    </row>
    <row r="23" spans="1:8" s="41" customFormat="1" ht="36.75" customHeight="1" x14ac:dyDescent="0.2">
      <c r="A23" s="161" t="s">
        <v>432</v>
      </c>
      <c r="B23" s="459" t="s">
        <v>434</v>
      </c>
      <c r="C23" s="460"/>
      <c r="D23" s="55">
        <f>(0.36*0.93)</f>
        <v>0.33479999999999999</v>
      </c>
      <c r="E23" s="56"/>
      <c r="F23" s="40"/>
      <c r="G23" s="54"/>
    </row>
    <row r="24" spans="1:8" s="41" customFormat="1" ht="15.75" customHeight="1" x14ac:dyDescent="0.2">
      <c r="A24" s="410"/>
      <c r="B24" s="411"/>
      <c r="C24" s="411"/>
      <c r="D24" s="411"/>
      <c r="E24" s="412"/>
      <c r="F24" s="40"/>
    </row>
    <row r="25" spans="1:8" s="51" customFormat="1" ht="16.5" customHeight="1" x14ac:dyDescent="0.2">
      <c r="A25" s="439" t="s">
        <v>47</v>
      </c>
      <c r="B25" s="440"/>
      <c r="C25" s="440"/>
      <c r="D25" s="75">
        <f>SUM(D26:D26)</f>
        <v>338.83000000000004</v>
      </c>
      <c r="E25" s="48" t="s">
        <v>41</v>
      </c>
      <c r="F25" s="49" t="s">
        <v>42</v>
      </c>
    </row>
    <row r="26" spans="1:8" s="41" customFormat="1" x14ac:dyDescent="0.2">
      <c r="A26" s="52"/>
      <c r="B26" s="420" t="s">
        <v>459</v>
      </c>
      <c r="C26" s="421"/>
      <c r="D26" s="53">
        <f>332.81+(2.83*2) + 0.36</f>
        <v>338.83000000000004</v>
      </c>
      <c r="E26" s="46"/>
      <c r="F26" s="40"/>
      <c r="G26" s="54"/>
    </row>
    <row r="27" spans="1:8" s="41" customFormat="1" ht="15.75" customHeight="1" x14ac:dyDescent="0.2">
      <c r="A27" s="410"/>
      <c r="B27" s="411"/>
      <c r="C27" s="411"/>
      <c r="D27" s="411"/>
      <c r="E27" s="412"/>
      <c r="F27" s="40"/>
    </row>
    <row r="28" spans="1:8" s="51" customFormat="1" ht="16.5" customHeight="1" x14ac:dyDescent="0.2">
      <c r="A28" s="416" t="s">
        <v>48</v>
      </c>
      <c r="B28" s="417"/>
      <c r="C28" s="417"/>
      <c r="D28" s="75">
        <f>SUM(D29:D29)</f>
        <v>66.247999999999976</v>
      </c>
      <c r="E28" s="48" t="s">
        <v>45</v>
      </c>
      <c r="F28" s="49" t="s">
        <v>42</v>
      </c>
    </row>
    <row r="29" spans="1:8" s="41" customFormat="1" ht="15" customHeight="1" x14ac:dyDescent="0.2">
      <c r="A29" s="106"/>
      <c r="B29" s="413" t="s">
        <v>444</v>
      </c>
      <c r="C29" s="415"/>
      <c r="D29" s="58">
        <f>(209.07-158.11)*1.3</f>
        <v>66.247999999999976</v>
      </c>
      <c r="E29" s="59"/>
      <c r="F29" s="40"/>
    </row>
    <row r="30" spans="1:8" s="41" customFormat="1" ht="15.75" customHeight="1" x14ac:dyDescent="0.2">
      <c r="A30" s="410"/>
      <c r="B30" s="411"/>
      <c r="C30" s="411"/>
      <c r="D30" s="411"/>
      <c r="E30" s="412"/>
      <c r="F30" s="40"/>
    </row>
    <row r="31" spans="1:8" s="51" customFormat="1" ht="16.5" customHeight="1" x14ac:dyDescent="0.2">
      <c r="A31" s="439" t="s">
        <v>49</v>
      </c>
      <c r="B31" s="440"/>
      <c r="C31" s="440"/>
      <c r="D31" s="76">
        <f>SUM(D32:D42)</f>
        <v>810.81690000000003</v>
      </c>
      <c r="E31" s="48" t="s">
        <v>41</v>
      </c>
      <c r="F31" s="49" t="s">
        <v>42</v>
      </c>
      <c r="G31" s="111"/>
      <c r="H31" s="110"/>
    </row>
    <row r="32" spans="1:8" s="41" customFormat="1" ht="15" customHeight="1" x14ac:dyDescent="0.2">
      <c r="A32" s="52" t="s">
        <v>87</v>
      </c>
      <c r="B32" s="420" t="s">
        <v>392</v>
      </c>
      <c r="C32" s="421"/>
      <c r="D32" s="53">
        <f>(20.6*8.2) + (6.8*8.2) + (7.2*7.7) + (1.4*2*8.2) + (0.7*47) + (0.6*44.93)</f>
        <v>362.93799999999999</v>
      </c>
      <c r="E32" s="46"/>
      <c r="F32" s="40"/>
      <c r="G32" s="109"/>
      <c r="H32" s="108"/>
    </row>
    <row r="33" spans="1:8" s="41" customFormat="1" ht="15" customHeight="1" x14ac:dyDescent="0.2">
      <c r="A33" s="106" t="s">
        <v>272</v>
      </c>
      <c r="B33" s="413" t="s">
        <v>383</v>
      </c>
      <c r="C33" s="414"/>
      <c r="D33" s="53">
        <f>(1.04*1) + (1.2*4.3) + (0.71*3) + (0.53*3) + (26*0.85) + (25.4*0.75)</f>
        <v>51.069999999999993</v>
      </c>
      <c r="E33" s="46"/>
      <c r="F33" s="40"/>
      <c r="G33" s="109"/>
      <c r="H33" s="108"/>
    </row>
    <row r="34" spans="1:8" s="41" customFormat="1" ht="15" customHeight="1" x14ac:dyDescent="0.2">
      <c r="A34" s="52" t="s">
        <v>390</v>
      </c>
      <c r="B34" s="413" t="s">
        <v>382</v>
      </c>
      <c r="C34" s="414"/>
      <c r="D34" s="53">
        <f>(13.2*3*0.6) + (9.2*2*0.6) + (7.6*2*0.6)</f>
        <v>43.919999999999995</v>
      </c>
      <c r="E34" s="46"/>
      <c r="F34" s="40"/>
      <c r="G34" s="109"/>
      <c r="H34" s="108"/>
    </row>
    <row r="35" spans="1:8" s="41" customFormat="1" ht="15" customHeight="1" x14ac:dyDescent="0.2">
      <c r="A35" s="63" t="s">
        <v>94</v>
      </c>
      <c r="B35" s="413" t="s">
        <v>821</v>
      </c>
      <c r="C35" s="414"/>
      <c r="D35" s="53">
        <f>(1*4*5.41) + (1*2*3.61) + (0.8*4*3.4) + (0.9*4*3.61) + (0.8*4*3.5)</f>
        <v>63.936000000000007</v>
      </c>
      <c r="E35" s="46"/>
      <c r="F35" s="40"/>
      <c r="G35" s="109"/>
      <c r="H35" s="108"/>
    </row>
    <row r="36" spans="1:8" s="41" customFormat="1" ht="27.75" customHeight="1" x14ac:dyDescent="0.2">
      <c r="A36" s="63" t="s">
        <v>750</v>
      </c>
      <c r="B36" s="413" t="s">
        <v>825</v>
      </c>
      <c r="C36" s="414"/>
      <c r="D36" s="53">
        <f>(1.35*18.56*2) + (1.25*13.83*2) + (1.15*6.16*2) + (1.05*6.16) + (1.05*2.8*2) + (1.05*2.6*4) + (1.05*2.63*3) + (1.15*4.5*2) + (1.15*7.3*3) + (1.15*15.55*2) + (1.05*15.4*2) + (1.05*7.3)</f>
        <v>241.71250000000003</v>
      </c>
      <c r="E36" s="46"/>
      <c r="F36" s="40"/>
      <c r="G36" s="109"/>
      <c r="H36" s="108"/>
    </row>
    <row r="37" spans="1:8" s="41" customFormat="1" ht="15" customHeight="1" x14ac:dyDescent="0.2">
      <c r="A37" s="52" t="s">
        <v>772</v>
      </c>
      <c r="B37" s="413" t="s">
        <v>820</v>
      </c>
      <c r="C37" s="414"/>
      <c r="D37" s="53">
        <f>(2.4*0.5*22)</f>
        <v>26.4</v>
      </c>
      <c r="E37" s="46"/>
      <c r="F37" s="40"/>
      <c r="G37" s="109"/>
      <c r="H37" s="108"/>
    </row>
    <row r="38" spans="1:8" s="41" customFormat="1" ht="15.75" customHeight="1" x14ac:dyDescent="0.2">
      <c r="A38" s="52" t="s">
        <v>226</v>
      </c>
      <c r="B38" s="420" t="s">
        <v>388</v>
      </c>
      <c r="C38" s="421"/>
      <c r="D38" s="53">
        <f>(0.9*0.19*6) + (0.9*0.16) + 0.55 + (2.39*0.9)</f>
        <v>3.8710000000000004</v>
      </c>
      <c r="E38" s="46"/>
      <c r="F38" s="40"/>
      <c r="G38" s="54"/>
    </row>
    <row r="39" spans="1:8" s="41" customFormat="1" ht="15.75" customHeight="1" x14ac:dyDescent="0.2">
      <c r="A39" s="52" t="s">
        <v>408</v>
      </c>
      <c r="B39" s="420" t="s">
        <v>415</v>
      </c>
      <c r="C39" s="421"/>
      <c r="D39" s="53">
        <f>(3.8*0.1) + (6.92*0.1) + (7.14*0.1*2) + (2.3*0.1*2) + (4.8*0.1) + (12.64*0.1)</f>
        <v>4.7040000000000006</v>
      </c>
      <c r="E39" s="46"/>
      <c r="F39" s="40"/>
      <c r="G39" s="54"/>
    </row>
    <row r="40" spans="1:8" s="41" customFormat="1" ht="15.75" customHeight="1" x14ac:dyDescent="0.2">
      <c r="A40" s="104" t="s">
        <v>409</v>
      </c>
      <c r="B40" s="420" t="s">
        <v>410</v>
      </c>
      <c r="C40" s="431"/>
      <c r="D40" s="107">
        <f>(6.7*0.15)</f>
        <v>1.0049999999999999</v>
      </c>
      <c r="E40" s="56"/>
      <c r="F40" s="40"/>
      <c r="G40" s="54"/>
    </row>
    <row r="41" spans="1:8" s="41" customFormat="1" ht="15.75" customHeight="1" x14ac:dyDescent="0.2">
      <c r="A41" s="104" t="s">
        <v>419</v>
      </c>
      <c r="B41" s="420" t="s">
        <v>423</v>
      </c>
      <c r="C41" s="421"/>
      <c r="D41" s="119">
        <f>(1.6*0.75) + (2.4*0.75) + (0.36*2) + (1.6*0.93) + (2.4*0.93)</f>
        <v>7.44</v>
      </c>
      <c r="E41" s="46"/>
      <c r="F41" s="40"/>
      <c r="G41" s="54"/>
    </row>
    <row r="42" spans="1:8" s="41" customFormat="1" ht="37.5" customHeight="1" x14ac:dyDescent="0.2">
      <c r="A42" s="161" t="s">
        <v>432</v>
      </c>
      <c r="B42" s="459" t="s">
        <v>440</v>
      </c>
      <c r="C42" s="460"/>
      <c r="D42" s="55">
        <f>(2.4*0.93) + (1.6*0.83) + (0.42*0.42) + (0.021*4)</f>
        <v>3.8204000000000007</v>
      </c>
      <c r="E42" s="56"/>
      <c r="F42" s="40"/>
      <c r="G42" s="54"/>
    </row>
    <row r="43" spans="1:8" s="41" customFormat="1" ht="15.75" customHeight="1" x14ac:dyDescent="0.2">
      <c r="A43" s="410"/>
      <c r="B43" s="411"/>
      <c r="C43" s="411"/>
      <c r="D43" s="411"/>
      <c r="E43" s="412"/>
      <c r="F43" s="40"/>
      <c r="G43" s="54"/>
    </row>
    <row r="44" spans="1:8" s="41" customFormat="1" ht="15.75" customHeight="1" x14ac:dyDescent="0.2">
      <c r="A44" s="439" t="s">
        <v>120</v>
      </c>
      <c r="B44" s="440"/>
      <c r="C44" s="440"/>
      <c r="D44" s="75">
        <f>SUM(D45:D46)</f>
        <v>63.178300000000007</v>
      </c>
      <c r="E44" s="48" t="s">
        <v>41</v>
      </c>
      <c r="F44" s="40" t="s">
        <v>42</v>
      </c>
      <c r="G44" s="54"/>
    </row>
    <row r="45" spans="1:8" s="41" customFormat="1" ht="15.75" customHeight="1" x14ac:dyDescent="0.2">
      <c r="A45" s="52" t="s">
        <v>417</v>
      </c>
      <c r="B45" s="420" t="s">
        <v>424</v>
      </c>
      <c r="C45" s="421"/>
      <c r="D45" s="119">
        <f>(2.85*4.71) + (5.96*3.24) + (1.76 - ((0.28*2)+0.08))</f>
        <v>33.853900000000003</v>
      </c>
      <c r="E45" s="46"/>
      <c r="F45" s="40"/>
      <c r="G45" s="54"/>
    </row>
    <row r="46" spans="1:8" s="41" customFormat="1" ht="15.75" customHeight="1" x14ac:dyDescent="0.2">
      <c r="A46" s="52" t="s">
        <v>416</v>
      </c>
      <c r="B46" s="420" t="s">
        <v>467</v>
      </c>
      <c r="C46" s="421"/>
      <c r="D46" s="119">
        <f>(2.32*4.71) + (5.96*2.57) + (1.76-0.28) + (1.76-(0.002*20*4))</f>
        <v>29.324400000000001</v>
      </c>
      <c r="E46" s="46"/>
      <c r="F46" s="40"/>
      <c r="G46" s="54"/>
    </row>
    <row r="47" spans="1:8" s="41" customFormat="1" ht="15.75" customHeight="1" x14ac:dyDescent="0.2">
      <c r="A47" s="410"/>
      <c r="B47" s="411"/>
      <c r="C47" s="411"/>
      <c r="D47" s="411"/>
      <c r="E47" s="412"/>
      <c r="F47" s="40"/>
      <c r="G47" s="54"/>
    </row>
    <row r="48" spans="1:8" s="41" customFormat="1" ht="15.75" customHeight="1" x14ac:dyDescent="0.2">
      <c r="A48" s="439" t="s">
        <v>212</v>
      </c>
      <c r="B48" s="440"/>
      <c r="C48" s="440"/>
      <c r="D48" s="75">
        <f>SUM(D49:D51)</f>
        <v>0.42450000000000004</v>
      </c>
      <c r="E48" s="48" t="s">
        <v>45</v>
      </c>
      <c r="F48" s="40" t="s">
        <v>42</v>
      </c>
    </row>
    <row r="49" spans="1:8" s="51" customFormat="1" ht="16.5" customHeight="1" x14ac:dyDescent="0.2">
      <c r="A49" s="52" t="s">
        <v>417</v>
      </c>
      <c r="B49" s="420" t="s">
        <v>437</v>
      </c>
      <c r="C49" s="421"/>
      <c r="D49" s="53">
        <f>(4*0.05)</f>
        <v>0.2</v>
      </c>
      <c r="E49" s="46"/>
      <c r="F49" s="49"/>
      <c r="G49" s="50"/>
    </row>
    <row r="50" spans="1:8" s="51" customFormat="1" ht="16.5" customHeight="1" x14ac:dyDescent="0.2">
      <c r="A50" s="52" t="s">
        <v>416</v>
      </c>
      <c r="B50" s="420" t="s">
        <v>437</v>
      </c>
      <c r="C50" s="421"/>
      <c r="D50" s="53">
        <f>(4*0.05)</f>
        <v>0.2</v>
      </c>
      <c r="E50" s="46"/>
      <c r="F50" s="49"/>
      <c r="G50" s="50"/>
    </row>
    <row r="51" spans="1:8" s="51" customFormat="1" ht="36" customHeight="1" x14ac:dyDescent="0.2">
      <c r="A51" s="161" t="s">
        <v>432</v>
      </c>
      <c r="B51" s="459" t="s">
        <v>438</v>
      </c>
      <c r="C51" s="460"/>
      <c r="D51" s="55">
        <f>(0.49*0.05)</f>
        <v>2.4500000000000001E-2</v>
      </c>
      <c r="E51" s="56"/>
      <c r="F51" s="49"/>
      <c r="G51" s="50"/>
    </row>
    <row r="52" spans="1:8" s="41" customFormat="1" x14ac:dyDescent="0.2">
      <c r="A52" s="410"/>
      <c r="B52" s="411"/>
      <c r="C52" s="411"/>
      <c r="D52" s="411"/>
      <c r="E52" s="412"/>
      <c r="F52" s="40"/>
      <c r="G52" s="54"/>
    </row>
    <row r="53" spans="1:8" s="41" customFormat="1" ht="15.75" customHeight="1" x14ac:dyDescent="0.2">
      <c r="A53" s="439" t="s">
        <v>149</v>
      </c>
      <c r="B53" s="440"/>
      <c r="C53" s="440"/>
      <c r="D53" s="75">
        <f>SUM(D54:D67)</f>
        <v>109.85861999999999</v>
      </c>
      <c r="E53" s="48" t="s">
        <v>45</v>
      </c>
      <c r="F53" s="40" t="s">
        <v>42</v>
      </c>
    </row>
    <row r="54" spans="1:8" s="41" customFormat="1" x14ac:dyDescent="0.2">
      <c r="A54" s="52" t="s">
        <v>828</v>
      </c>
      <c r="B54" s="420" t="s">
        <v>827</v>
      </c>
      <c r="C54" s="421"/>
      <c r="D54" s="53">
        <f>(2.39*7.7) + (0.675*7.7) + (0.7*8.2)</f>
        <v>29.340500000000002</v>
      </c>
      <c r="E54" s="46"/>
      <c r="F54" s="40"/>
      <c r="G54" s="54"/>
    </row>
    <row r="55" spans="1:8" s="41" customFormat="1" x14ac:dyDescent="0.2">
      <c r="A55" s="52" t="s">
        <v>87</v>
      </c>
      <c r="B55" s="420" t="s">
        <v>829</v>
      </c>
      <c r="C55" s="421"/>
      <c r="D55" s="53">
        <f>(134.89*0.04) + (41*0.04)</f>
        <v>7.0356000000000005</v>
      </c>
      <c r="E55" s="46"/>
      <c r="F55" s="40"/>
      <c r="G55" s="54"/>
    </row>
    <row r="56" spans="1:8" s="41" customFormat="1" x14ac:dyDescent="0.2">
      <c r="A56" s="106" t="s">
        <v>272</v>
      </c>
      <c r="B56" s="413" t="s">
        <v>384</v>
      </c>
      <c r="C56" s="414"/>
      <c r="D56" s="53">
        <f>(0.16*4) + (0.1*4) + (3.85*0.75) + (0.1*26.72)</f>
        <v>6.5995000000000008</v>
      </c>
      <c r="E56" s="46"/>
      <c r="F56" s="40"/>
      <c r="G56" s="54"/>
    </row>
    <row r="57" spans="1:8" s="41" customFormat="1" ht="15" customHeight="1" x14ac:dyDescent="0.2">
      <c r="A57" s="52" t="s">
        <v>390</v>
      </c>
      <c r="B57" s="413" t="s">
        <v>385</v>
      </c>
      <c r="C57" s="415"/>
      <c r="D57" s="53">
        <f>(10.89*0.6*3) + (5.29*0.6*2) + (3.61*0.6*2)</f>
        <v>30.282</v>
      </c>
      <c r="E57" s="46"/>
      <c r="F57" s="40"/>
      <c r="G57" s="54"/>
      <c r="H57" s="41">
        <f>ROUND(0.675,2)</f>
        <v>0.68</v>
      </c>
    </row>
    <row r="58" spans="1:8" s="41" customFormat="1" x14ac:dyDescent="0.2">
      <c r="A58" s="63" t="s">
        <v>94</v>
      </c>
      <c r="B58" s="413" t="s">
        <v>386</v>
      </c>
      <c r="C58" s="415"/>
      <c r="D58" s="53">
        <f>(0.063*4*5.41) + (0.04*4*3.5) + (0.05*4*3.61) + (0.063*2*3.61) + (0.04*4*3.4)</f>
        <v>3.64418</v>
      </c>
      <c r="E58" s="46"/>
      <c r="F58" s="40"/>
      <c r="G58" s="54"/>
    </row>
    <row r="59" spans="1:8" s="41" customFormat="1" ht="26.25" customHeight="1" x14ac:dyDescent="0.2">
      <c r="A59" s="63" t="s">
        <v>750</v>
      </c>
      <c r="B59" s="413" t="s">
        <v>826</v>
      </c>
      <c r="C59" s="414"/>
      <c r="D59" s="53">
        <f>(0.125*18.56*2) + (0.1*13.83*2) + (0.1*6.16*2) + (0.08*6.16) + (0.08*2.8*2) + (0.08*2.6*4) + (0.08*2.63*3) + (0.1*4.5*2) + (0.1*7.3*3) + (0.1*15.55*2) + (0.08*15.4*2) + (0.08*7.3)</f>
        <v>20.29</v>
      </c>
      <c r="E59" s="46"/>
      <c r="F59" s="40"/>
      <c r="G59" s="54"/>
    </row>
    <row r="60" spans="1:8" s="41" customFormat="1" x14ac:dyDescent="0.2">
      <c r="A60" s="52" t="s">
        <v>772</v>
      </c>
      <c r="B60" s="413" t="s">
        <v>819</v>
      </c>
      <c r="C60" s="414"/>
      <c r="D60" s="53">
        <f>(0.36*0.5*22)</f>
        <v>3.96</v>
      </c>
      <c r="E60" s="46"/>
      <c r="F60" s="40"/>
      <c r="G60" s="54"/>
    </row>
    <row r="61" spans="1:8" s="41" customFormat="1" x14ac:dyDescent="0.2">
      <c r="A61" s="52" t="s">
        <v>226</v>
      </c>
      <c r="B61" s="413" t="s">
        <v>389</v>
      </c>
      <c r="C61" s="415"/>
      <c r="D61" s="53">
        <f>(0.55*0.9)</f>
        <v>0.49500000000000005</v>
      </c>
      <c r="E61" s="46"/>
      <c r="F61" s="40"/>
      <c r="G61" s="54"/>
    </row>
    <row r="62" spans="1:8" s="41" customFormat="1" x14ac:dyDescent="0.2">
      <c r="A62" s="52" t="s">
        <v>408</v>
      </c>
      <c r="B62" s="413" t="s">
        <v>411</v>
      </c>
      <c r="C62" s="414"/>
      <c r="D62" s="53">
        <f>(0.4*0.1) + (2.3*0.1*0.1*2) + (4.8*0.1*0.1)</f>
        <v>0.13400000000000001</v>
      </c>
      <c r="E62" s="46"/>
      <c r="F62" s="40"/>
      <c r="G62" s="54"/>
    </row>
    <row r="63" spans="1:8" s="41" customFormat="1" x14ac:dyDescent="0.2">
      <c r="A63" s="104" t="s">
        <v>409</v>
      </c>
      <c r="B63" s="420" t="s">
        <v>412</v>
      </c>
      <c r="C63" s="421"/>
      <c r="D63" s="53">
        <f>(2.28*0.15)</f>
        <v>0.34199999999999997</v>
      </c>
      <c r="E63" s="46"/>
      <c r="F63" s="40"/>
      <c r="G63" s="54"/>
    </row>
    <row r="64" spans="1:8" s="41" customFormat="1" x14ac:dyDescent="0.2">
      <c r="A64" s="52" t="s">
        <v>417</v>
      </c>
      <c r="B64" s="420" t="s">
        <v>425</v>
      </c>
      <c r="C64" s="421"/>
      <c r="D64" s="53">
        <f>(0.6*5.96) + ((1.76*0.15) - (0.28*0.15*2) + (0.08*0.15))</f>
        <v>3.7680000000000002</v>
      </c>
      <c r="E64" s="46"/>
      <c r="F64" s="40"/>
      <c r="G64" s="54"/>
    </row>
    <row r="65" spans="1:7" s="41" customFormat="1" x14ac:dyDescent="0.2">
      <c r="A65" s="52" t="s">
        <v>416</v>
      </c>
      <c r="B65" s="420" t="s">
        <v>466</v>
      </c>
      <c r="C65" s="421"/>
      <c r="D65" s="119">
        <f>(1.06*2.27) + (2.83*0.15) + ((2.83*0.15) - (0.28*0.15)) + ((1.76*0.11)-(0.002*0.11*20*4))</f>
        <v>3.3892000000000002</v>
      </c>
      <c r="E65" s="46"/>
      <c r="F65" s="40"/>
      <c r="G65" s="54"/>
    </row>
    <row r="66" spans="1:7" s="41" customFormat="1" x14ac:dyDescent="0.2">
      <c r="A66" s="104" t="s">
        <v>419</v>
      </c>
      <c r="B66" s="420" t="s">
        <v>426</v>
      </c>
      <c r="C66" s="431"/>
      <c r="D66" s="124">
        <f>(0.2*0.65) + (0.36*0.1) + (0.2*0.83) + (0.36*0.1)</f>
        <v>0.36799999999999999</v>
      </c>
      <c r="E66" s="46"/>
      <c r="F66" s="40"/>
      <c r="G66" s="54"/>
    </row>
    <row r="67" spans="1:7" s="41" customFormat="1" ht="36" x14ac:dyDescent="0.2">
      <c r="A67" s="161" t="s">
        <v>432</v>
      </c>
      <c r="B67" s="459" t="s">
        <v>439</v>
      </c>
      <c r="C67" s="460"/>
      <c r="D67" s="55">
        <f>(0.2*0.93) + (0.1*0.16) + (0.048*0.18)</f>
        <v>0.21064000000000002</v>
      </c>
      <c r="E67" s="56"/>
      <c r="F67" s="40"/>
      <c r="G67" s="54"/>
    </row>
    <row r="68" spans="1:7" s="41" customFormat="1" ht="15.75" customHeight="1" x14ac:dyDescent="0.2">
      <c r="A68" s="410"/>
      <c r="B68" s="411"/>
      <c r="C68" s="411"/>
      <c r="D68" s="411"/>
      <c r="E68" s="412"/>
      <c r="F68" s="40"/>
      <c r="G68" s="54"/>
    </row>
    <row r="69" spans="1:7" s="41" customFormat="1" ht="15.75" customHeight="1" x14ac:dyDescent="0.2">
      <c r="A69" s="416" t="s">
        <v>745</v>
      </c>
      <c r="B69" s="417"/>
      <c r="C69" s="417"/>
      <c r="D69" s="76">
        <f>SUM(D70:D83)</f>
        <v>3530.16</v>
      </c>
      <c r="E69" s="48" t="s">
        <v>51</v>
      </c>
      <c r="F69" s="40"/>
      <c r="G69" s="54"/>
    </row>
    <row r="70" spans="1:7" s="41" customFormat="1" ht="15.75" customHeight="1" x14ac:dyDescent="0.2">
      <c r="A70" s="52" t="s">
        <v>87</v>
      </c>
      <c r="B70" s="413" t="s">
        <v>830</v>
      </c>
      <c r="C70" s="415"/>
      <c r="D70" s="61">
        <f>(7.04*20)</f>
        <v>140.80000000000001</v>
      </c>
      <c r="E70" s="59"/>
      <c r="F70" s="40"/>
      <c r="G70" s="54"/>
    </row>
    <row r="71" spans="1:7" s="41" customFormat="1" ht="15.75" customHeight="1" x14ac:dyDescent="0.2">
      <c r="A71" s="106" t="s">
        <v>272</v>
      </c>
      <c r="B71" s="413" t="s">
        <v>859</v>
      </c>
      <c r="C71" s="414"/>
      <c r="D71" s="61">
        <f>(6.6*50)</f>
        <v>330</v>
      </c>
      <c r="E71" s="290"/>
      <c r="F71" s="40"/>
      <c r="G71" s="54"/>
    </row>
    <row r="72" spans="1:7" s="41" customFormat="1" ht="15.75" customHeight="1" x14ac:dyDescent="0.2">
      <c r="A72" s="52" t="s">
        <v>390</v>
      </c>
      <c r="B72" s="413" t="s">
        <v>872</v>
      </c>
      <c r="C72" s="415"/>
      <c r="D72" s="61">
        <f>280.17+132.48+87.07</f>
        <v>499.71999999999997</v>
      </c>
      <c r="E72" s="290"/>
      <c r="F72" s="40"/>
      <c r="G72" s="54"/>
    </row>
    <row r="73" spans="1:7" s="41" customFormat="1" ht="15.75" customHeight="1" x14ac:dyDescent="0.2">
      <c r="A73" s="63" t="s">
        <v>94</v>
      </c>
      <c r="B73" s="413" t="s">
        <v>822</v>
      </c>
      <c r="C73" s="415"/>
      <c r="D73" s="61">
        <f>146+146</f>
        <v>292</v>
      </c>
      <c r="E73" s="59"/>
      <c r="F73" s="40"/>
      <c r="G73" s="54"/>
    </row>
    <row r="74" spans="1:7" s="41" customFormat="1" ht="15.75" customHeight="1" x14ac:dyDescent="0.2">
      <c r="A74" s="52" t="s">
        <v>750</v>
      </c>
      <c r="B74" s="413" t="s">
        <v>860</v>
      </c>
      <c r="C74" s="415"/>
      <c r="D74" s="61">
        <f>410+200+116+362+102</f>
        <v>1190</v>
      </c>
      <c r="E74" s="59"/>
      <c r="F74" s="40"/>
      <c r="G74" s="54"/>
    </row>
    <row r="75" spans="1:7" s="41" customFormat="1" ht="15.75" customHeight="1" x14ac:dyDescent="0.2">
      <c r="A75" s="52" t="s">
        <v>772</v>
      </c>
      <c r="B75" s="413">
        <v>148</v>
      </c>
      <c r="C75" s="415"/>
      <c r="D75" s="61">
        <f>148</f>
        <v>148</v>
      </c>
      <c r="E75" s="59"/>
      <c r="F75" s="40"/>
      <c r="G75" s="54"/>
    </row>
    <row r="76" spans="1:7" s="41" customFormat="1" ht="15.75" customHeight="1" x14ac:dyDescent="0.2">
      <c r="A76" s="52" t="s">
        <v>226</v>
      </c>
      <c r="B76" s="413" t="s">
        <v>858</v>
      </c>
      <c r="C76" s="414"/>
      <c r="D76" s="61">
        <f>(0.5*80)</f>
        <v>40</v>
      </c>
      <c r="E76" s="59"/>
      <c r="F76" s="40"/>
      <c r="G76" s="54"/>
    </row>
    <row r="77" spans="1:7" s="41" customFormat="1" ht="15.75" customHeight="1" x14ac:dyDescent="0.2">
      <c r="A77" s="52" t="s">
        <v>408</v>
      </c>
      <c r="B77" s="413" t="s">
        <v>861</v>
      </c>
      <c r="C77" s="414"/>
      <c r="D77" s="61">
        <f>(0.13*80)</f>
        <v>10.4</v>
      </c>
      <c r="E77" s="59"/>
      <c r="F77" s="40"/>
      <c r="G77" s="54"/>
    </row>
    <row r="78" spans="1:7" s="41" customFormat="1" ht="15.75" customHeight="1" x14ac:dyDescent="0.2">
      <c r="A78" s="104" t="s">
        <v>409</v>
      </c>
      <c r="B78" s="413" t="s">
        <v>863</v>
      </c>
      <c r="C78" s="414"/>
      <c r="D78" s="61">
        <f>(0.34*50)</f>
        <v>17</v>
      </c>
      <c r="E78" s="59"/>
      <c r="F78" s="40"/>
      <c r="G78" s="54"/>
    </row>
    <row r="79" spans="1:7" s="41" customFormat="1" ht="15.75" customHeight="1" x14ac:dyDescent="0.2">
      <c r="A79" s="52" t="s">
        <v>417</v>
      </c>
      <c r="B79" s="413" t="s">
        <v>862</v>
      </c>
      <c r="C79" s="414"/>
      <c r="D79" s="61">
        <f>(3.77*80)</f>
        <v>301.60000000000002</v>
      </c>
      <c r="E79" s="59"/>
      <c r="F79" s="40"/>
      <c r="G79" s="54"/>
    </row>
    <row r="80" spans="1:7" s="41" customFormat="1" ht="15.75" customHeight="1" x14ac:dyDescent="0.2">
      <c r="A80" s="52" t="s">
        <v>416</v>
      </c>
      <c r="B80" s="413" t="s">
        <v>864</v>
      </c>
      <c r="C80" s="414"/>
      <c r="D80" s="61">
        <f>(3.39*80)</f>
        <v>271.2</v>
      </c>
      <c r="E80" s="59"/>
      <c r="F80" s="40"/>
      <c r="G80" s="54"/>
    </row>
    <row r="81" spans="1:7" s="41" customFormat="1" ht="15.75" customHeight="1" x14ac:dyDescent="0.2">
      <c r="A81" s="104" t="s">
        <v>419</v>
      </c>
      <c r="B81" s="413" t="s">
        <v>865</v>
      </c>
      <c r="C81" s="414"/>
      <c r="D81" s="61">
        <f>(0.37*80)</f>
        <v>29.6</v>
      </c>
      <c r="E81" s="59"/>
      <c r="F81" s="40"/>
      <c r="G81" s="54"/>
    </row>
    <row r="82" spans="1:7" s="41" customFormat="1" ht="36.75" customHeight="1" x14ac:dyDescent="0.2">
      <c r="A82" s="292" t="s">
        <v>432</v>
      </c>
      <c r="B82" s="413" t="s">
        <v>866</v>
      </c>
      <c r="C82" s="414"/>
      <c r="D82" s="61">
        <f>(0.21*80)</f>
        <v>16.8</v>
      </c>
      <c r="E82" s="59"/>
      <c r="F82" s="40"/>
      <c r="G82" s="54"/>
    </row>
    <row r="83" spans="1:7" s="41" customFormat="1" ht="15.75" customHeight="1" x14ac:dyDescent="0.2">
      <c r="A83" s="52" t="s">
        <v>782</v>
      </c>
      <c r="B83" s="413">
        <v>243.04</v>
      </c>
      <c r="C83" s="415"/>
      <c r="D83" s="53">
        <f>243.04</f>
        <v>243.04</v>
      </c>
      <c r="E83" s="46"/>
      <c r="F83" s="40"/>
      <c r="G83" s="54"/>
    </row>
    <row r="84" spans="1:7" s="41" customFormat="1" ht="15.75" customHeight="1" x14ac:dyDescent="0.2">
      <c r="A84" s="410"/>
      <c r="B84" s="411"/>
      <c r="C84" s="411"/>
      <c r="D84" s="411"/>
      <c r="E84" s="412"/>
      <c r="F84" s="40"/>
      <c r="G84" s="54"/>
    </row>
    <row r="85" spans="1:7" s="41" customFormat="1" ht="15.75" customHeight="1" x14ac:dyDescent="0.2">
      <c r="A85" s="416" t="s">
        <v>746</v>
      </c>
      <c r="B85" s="417"/>
      <c r="C85" s="417"/>
      <c r="D85" s="76">
        <f>SUM(D86:D88)</f>
        <v>478.20000000000005</v>
      </c>
      <c r="E85" s="48" t="s">
        <v>51</v>
      </c>
      <c r="F85" s="40"/>
    </row>
    <row r="86" spans="1:7" s="41" customFormat="1" ht="15.75" customHeight="1" x14ac:dyDescent="0.2">
      <c r="A86" s="63" t="s">
        <v>94</v>
      </c>
      <c r="B86" s="413" t="s">
        <v>823</v>
      </c>
      <c r="C86" s="415"/>
      <c r="D86" s="61">
        <f>36+36</f>
        <v>72</v>
      </c>
      <c r="E86" s="59"/>
      <c r="F86" s="40"/>
    </row>
    <row r="87" spans="1:7" s="41" customFormat="1" ht="15.75" customHeight="1" x14ac:dyDescent="0.2">
      <c r="A87" s="52" t="s">
        <v>390</v>
      </c>
      <c r="B87" s="413" t="s">
        <v>873</v>
      </c>
      <c r="C87" s="415"/>
      <c r="D87" s="61">
        <f>218.06+96.53+69.61</f>
        <v>384.20000000000005</v>
      </c>
      <c r="E87" s="293"/>
      <c r="F87" s="40"/>
    </row>
    <row r="88" spans="1:7" s="41" customFormat="1" ht="15.75" customHeight="1" x14ac:dyDescent="0.2">
      <c r="A88" s="52" t="s">
        <v>772</v>
      </c>
      <c r="B88" s="413">
        <v>22</v>
      </c>
      <c r="C88" s="415"/>
      <c r="D88" s="61">
        <f>22</f>
        <v>22</v>
      </c>
      <c r="E88" s="59"/>
      <c r="F88" s="40"/>
    </row>
    <row r="89" spans="1:7" s="41" customFormat="1" ht="15.75" customHeight="1" x14ac:dyDescent="0.2">
      <c r="A89" s="410"/>
      <c r="B89" s="411"/>
      <c r="C89" s="411"/>
      <c r="D89" s="411"/>
      <c r="E89" s="412"/>
      <c r="F89" s="40"/>
    </row>
    <row r="90" spans="1:7" s="41" customFormat="1" x14ac:dyDescent="0.2">
      <c r="A90" s="422" t="s">
        <v>52</v>
      </c>
      <c r="B90" s="423"/>
      <c r="C90" s="423"/>
      <c r="D90" s="75">
        <f>SUM(D91:D93)</f>
        <v>628.64087999999992</v>
      </c>
      <c r="E90" s="48" t="s">
        <v>45</v>
      </c>
      <c r="F90" s="40" t="s">
        <v>42</v>
      </c>
    </row>
    <row r="91" spans="1:7" s="51" customFormat="1" ht="16.5" customHeight="1" x14ac:dyDescent="0.2">
      <c r="A91" s="63" t="s">
        <v>87</v>
      </c>
      <c r="B91" s="413" t="s">
        <v>387</v>
      </c>
      <c r="C91" s="415"/>
      <c r="D91" s="65">
        <f>(4.5*1.35*8.2) + (4.5*3.9*8.2) + ((3.8+4.8+6.95)*8.2*3.4)</f>
        <v>627.2589999999999</v>
      </c>
      <c r="E91" s="64"/>
      <c r="F91" s="49"/>
    </row>
    <row r="92" spans="1:7" s="41" customFormat="1" ht="15.75" customHeight="1" x14ac:dyDescent="0.2">
      <c r="A92" s="63" t="s">
        <v>226</v>
      </c>
      <c r="B92" s="413" t="s">
        <v>391</v>
      </c>
      <c r="C92" s="415"/>
      <c r="D92" s="65">
        <f>(0.9*2.39*0.58)</f>
        <v>1.2475800000000001</v>
      </c>
      <c r="E92" s="64"/>
      <c r="F92" s="40"/>
      <c r="G92" s="54"/>
    </row>
    <row r="93" spans="1:7" s="41" customFormat="1" ht="35.25" customHeight="1" x14ac:dyDescent="0.2">
      <c r="A93" s="161" t="s">
        <v>432</v>
      </c>
      <c r="B93" s="413" t="s">
        <v>462</v>
      </c>
      <c r="C93" s="414"/>
      <c r="D93" s="147">
        <f>(0.17*0.79)</f>
        <v>0.1343</v>
      </c>
      <c r="E93" s="64"/>
      <c r="F93" s="40"/>
      <c r="G93" s="54"/>
    </row>
    <row r="94" spans="1:7" s="41" customFormat="1" ht="15.75" customHeight="1" x14ac:dyDescent="0.2">
      <c r="A94" s="410"/>
      <c r="B94" s="411"/>
      <c r="C94" s="411"/>
      <c r="D94" s="411"/>
      <c r="E94" s="412"/>
      <c r="F94" s="40"/>
      <c r="G94" s="54"/>
    </row>
    <row r="95" spans="1:7" s="41" customFormat="1" x14ac:dyDescent="0.2">
      <c r="A95" s="418" t="s">
        <v>53</v>
      </c>
      <c r="B95" s="419"/>
      <c r="C95" s="419"/>
      <c r="D95" s="75">
        <f>SUM(D96:D107)</f>
        <v>1514.2721999999999</v>
      </c>
      <c r="E95" s="66" t="s">
        <v>41</v>
      </c>
      <c r="F95" s="40" t="s">
        <v>42</v>
      </c>
    </row>
    <row r="96" spans="1:7" s="51" customFormat="1" ht="23.25" customHeight="1" x14ac:dyDescent="0.2">
      <c r="A96" s="52" t="s">
        <v>87</v>
      </c>
      <c r="B96" s="420" t="s">
        <v>394</v>
      </c>
      <c r="C96" s="421"/>
      <c r="D96" s="53">
        <f>(15.95*7.7*2) + (17.35*8.2) + (4.5*7.7*2) + (5*8.2) + (6.8*8.2) + (19.2*7.7) + (15.4*8.2) + (115.42-((10.89*3) + (5.29*2) + (3.61*2)))</f>
        <v>893.03000000000009</v>
      </c>
      <c r="E96" s="46"/>
      <c r="F96" s="49"/>
    </row>
    <row r="97" spans="1:7" s="41" customFormat="1" ht="15.75" customHeight="1" x14ac:dyDescent="0.2">
      <c r="A97" s="106" t="s">
        <v>272</v>
      </c>
      <c r="B97" s="420" t="s">
        <v>395</v>
      </c>
      <c r="C97" s="421"/>
      <c r="D97" s="53">
        <f>(0.75*25.4) + (0.85*26) + (27.31+23.45) + (0.71*3) + (0.5*4)</f>
        <v>96.039999999999992</v>
      </c>
      <c r="E97" s="46"/>
      <c r="F97" s="40"/>
      <c r="G97" s="54"/>
    </row>
    <row r="98" spans="1:7" s="41" customFormat="1" ht="15.75" customHeight="1" x14ac:dyDescent="0.2">
      <c r="A98" s="52" t="s">
        <v>390</v>
      </c>
      <c r="B98" s="420" t="s">
        <v>396</v>
      </c>
      <c r="C98" s="431"/>
      <c r="D98" s="53">
        <f>(13.2*3*0.6) + (9.2*2*0.6) + (7.6*2*0.6) + (10.89*3) + (5.29*2) + (3.61*2)</f>
        <v>94.39</v>
      </c>
      <c r="E98" s="46"/>
      <c r="F98" s="40"/>
      <c r="G98" s="54"/>
    </row>
    <row r="99" spans="1:7" s="41" customFormat="1" ht="15.75" customHeight="1" x14ac:dyDescent="0.2">
      <c r="A99" s="63" t="s">
        <v>94</v>
      </c>
      <c r="B99" s="413" t="s">
        <v>393</v>
      </c>
      <c r="C99" s="414"/>
      <c r="D99" s="53">
        <f>(1*6*0.41)  + (0.8*8*0.41) + (0.9*4*0.41)</f>
        <v>6.56</v>
      </c>
      <c r="E99" s="46"/>
      <c r="F99" s="40"/>
      <c r="G99" s="54"/>
    </row>
    <row r="100" spans="1:7" s="41" customFormat="1" ht="26.25" customHeight="1" x14ac:dyDescent="0.2">
      <c r="A100" s="63" t="s">
        <v>750</v>
      </c>
      <c r="B100" s="413" t="s">
        <v>824</v>
      </c>
      <c r="C100" s="414"/>
      <c r="D100" s="53">
        <f>(1.5*18.56*2) + (1.4*13.83*2) + (1.3*6.16*2) + (1.2*6.16) + (1.2*2.8*2) + (1.2*2.6*4) + (1.2*2.63*3) + (1.3*4.5*2) + (1.3*7.3*3) + (1.3*15.55*2) + (1.2*15.4*2) + (1.2*7.3)</f>
        <v>272.79999999999995</v>
      </c>
      <c r="E100" s="56"/>
      <c r="F100" s="40"/>
      <c r="G100" s="54"/>
    </row>
    <row r="101" spans="1:7" s="41" customFormat="1" ht="15.75" customHeight="1" x14ac:dyDescent="0.2">
      <c r="A101" s="52" t="s">
        <v>772</v>
      </c>
      <c r="B101" s="413" t="s">
        <v>818</v>
      </c>
      <c r="C101" s="414"/>
      <c r="D101" s="53">
        <f>(2.4*0.5*22) + (0.36*2*22)</f>
        <v>42.239999999999995</v>
      </c>
      <c r="E101" s="56"/>
      <c r="F101" s="40"/>
      <c r="G101" s="54"/>
    </row>
    <row r="102" spans="1:7" s="41" customFormat="1" ht="15.75" customHeight="1" x14ac:dyDescent="0.2">
      <c r="A102" s="52" t="s">
        <v>408</v>
      </c>
      <c r="B102" s="413" t="s">
        <v>414</v>
      </c>
      <c r="C102" s="415"/>
      <c r="D102" s="53">
        <f>(2.88) + (6.92*0.1) + (3.02*2) + (7.14*0.1*2) + (7.58) + (12.64*0.1)</f>
        <v>19.883999999999997</v>
      </c>
      <c r="E102" s="56"/>
      <c r="F102" s="40"/>
      <c r="G102" s="54"/>
    </row>
    <row r="103" spans="1:7" s="41" customFormat="1" ht="15.75" customHeight="1" x14ac:dyDescent="0.2">
      <c r="A103" s="104" t="s">
        <v>409</v>
      </c>
      <c r="B103" s="413" t="s">
        <v>413</v>
      </c>
      <c r="C103" s="414"/>
      <c r="D103" s="119">
        <f>(6.7*0.15) + 2.28</f>
        <v>3.2849999999999997</v>
      </c>
      <c r="E103" s="46"/>
      <c r="F103" s="40"/>
      <c r="G103" s="54"/>
    </row>
    <row r="104" spans="1:7" s="41" customFormat="1" ht="15.75" customHeight="1" x14ac:dyDescent="0.2">
      <c r="A104" s="52" t="s">
        <v>417</v>
      </c>
      <c r="B104" s="413" t="s">
        <v>427</v>
      </c>
      <c r="C104" s="414"/>
      <c r="D104" s="53">
        <f>(2.76*4.71) + (3.24*5.96) + ((1.76 - ((0.28*2)+0.08))*2)</f>
        <v>34.550000000000004</v>
      </c>
      <c r="E104" s="56"/>
      <c r="F104" s="40"/>
      <c r="G104" s="54"/>
    </row>
    <row r="105" spans="1:7" s="41" customFormat="1" ht="21.75" customHeight="1" x14ac:dyDescent="0.2">
      <c r="A105" s="52" t="s">
        <v>416</v>
      </c>
      <c r="B105" s="413" t="s">
        <v>468</v>
      </c>
      <c r="C105" s="415"/>
      <c r="D105" s="53">
        <f>(4.71*2.32) + (2.57*5.96) + (1.76+2.83) + (2.83 - (0.28*2)) + ((1.76*2)-(0.002*20*4*2*0.11)) + (0.11*0.15*20*4*2)</f>
        <v>39.229199999999999</v>
      </c>
      <c r="E105" s="56"/>
      <c r="F105" s="40"/>
      <c r="G105" s="54"/>
    </row>
    <row r="106" spans="1:7" s="41" customFormat="1" ht="15.75" customHeight="1" x14ac:dyDescent="0.2">
      <c r="A106" s="104" t="s">
        <v>419</v>
      </c>
      <c r="B106" s="413" t="s">
        <v>428</v>
      </c>
      <c r="C106" s="415"/>
      <c r="D106" s="119">
        <f>(1.6*0.75) + (2.4*0.75) + ((0.16+0.36)*2) + (1.6*0.93) + (2.4*0.93)</f>
        <v>7.7600000000000007</v>
      </c>
      <c r="E106" s="46"/>
      <c r="F106" s="40"/>
      <c r="G106" s="54"/>
    </row>
    <row r="107" spans="1:7" s="41" customFormat="1" ht="35.25" customHeight="1" x14ac:dyDescent="0.2">
      <c r="A107" s="161" t="s">
        <v>432</v>
      </c>
      <c r="B107" s="459" t="s">
        <v>441</v>
      </c>
      <c r="C107" s="460"/>
      <c r="D107" s="55">
        <f>(1.6*0.83) + (2.4*0.93) + (0.16+0.36) + (0.021*4) + (0.17*2)</f>
        <v>4.5039999999999996</v>
      </c>
      <c r="E107" s="56"/>
      <c r="F107" s="40"/>
      <c r="G107" s="54"/>
    </row>
    <row r="108" spans="1:7" s="41" customFormat="1" ht="15.75" customHeight="1" x14ac:dyDescent="0.2">
      <c r="A108" s="410"/>
      <c r="B108" s="411"/>
      <c r="C108" s="411"/>
      <c r="D108" s="411"/>
      <c r="E108" s="412"/>
      <c r="F108" s="40"/>
      <c r="G108" s="54"/>
    </row>
    <row r="109" spans="1:7" s="41" customFormat="1" x14ac:dyDescent="0.2">
      <c r="A109" s="418" t="s">
        <v>54</v>
      </c>
      <c r="B109" s="419"/>
      <c r="C109" s="419"/>
      <c r="D109" s="76">
        <f>SUM(D110:D113)*1.04</f>
        <v>447.60820000000007</v>
      </c>
      <c r="E109" s="48" t="s">
        <v>41</v>
      </c>
      <c r="F109" s="40" t="s">
        <v>42</v>
      </c>
    </row>
    <row r="110" spans="1:7" s="51" customFormat="1" ht="25.5" customHeight="1" x14ac:dyDescent="0.2">
      <c r="A110" s="63" t="s">
        <v>97</v>
      </c>
      <c r="B110" s="413" t="s">
        <v>397</v>
      </c>
      <c r="C110" s="415"/>
      <c r="D110" s="67">
        <f>((20.07*3.5)+(39.6*3)) - ((0.5*2*6)+( 1*1.2*2)+(1*1.5*2)+(1*1.2*4) +(0.8*0.8)+(1.5*2.1))</f>
        <v>169.05500000000001</v>
      </c>
      <c r="E110" s="64"/>
      <c r="F110" s="49"/>
    </row>
    <row r="111" spans="1:7" s="51" customFormat="1" ht="16.5" customHeight="1" x14ac:dyDescent="0.2">
      <c r="A111" s="63" t="s">
        <v>98</v>
      </c>
      <c r="B111" s="415" t="s">
        <v>402</v>
      </c>
      <c r="C111" s="415"/>
      <c r="D111" s="112">
        <f>((16*3.4)+(14.1*3.4)+(2.8*9*3.4)) - ((0.8*2.1*9)+(1.5*2.1*3)+(0.8*1.5)+(1*1.5*5))</f>
        <v>154.75</v>
      </c>
      <c r="E111" s="64"/>
      <c r="F111" s="49"/>
    </row>
    <row r="112" spans="1:7" s="51" customFormat="1" ht="16.5" customHeight="1" x14ac:dyDescent="0.2">
      <c r="A112" s="159" t="s">
        <v>400</v>
      </c>
      <c r="B112" s="413" t="s">
        <v>401</v>
      </c>
      <c r="C112" s="414"/>
      <c r="D112" s="112">
        <f>(1.05*25.95) + (0.3*48.7)</f>
        <v>41.857500000000002</v>
      </c>
      <c r="E112" s="64"/>
      <c r="F112" s="49"/>
    </row>
    <row r="113" spans="1:7" s="51" customFormat="1" ht="16.5" customHeight="1" x14ac:dyDescent="0.2">
      <c r="A113" s="157" t="s">
        <v>99</v>
      </c>
      <c r="B113" s="413" t="s">
        <v>406</v>
      </c>
      <c r="C113" s="415"/>
      <c r="D113" s="112">
        <f>(1.4*27.2)+ (41*0.65)</f>
        <v>64.73</v>
      </c>
      <c r="E113" s="64"/>
      <c r="F113" s="49"/>
    </row>
    <row r="114" spans="1:7" s="41" customFormat="1" x14ac:dyDescent="0.2">
      <c r="A114" s="410"/>
      <c r="B114" s="411"/>
      <c r="C114" s="411"/>
      <c r="D114" s="411"/>
      <c r="E114" s="412"/>
      <c r="F114" s="40"/>
      <c r="G114" s="54"/>
    </row>
    <row r="115" spans="1:7" s="41" customFormat="1" x14ac:dyDescent="0.2">
      <c r="A115" s="416" t="s">
        <v>56</v>
      </c>
      <c r="B115" s="426"/>
      <c r="C115" s="426"/>
      <c r="D115" s="68">
        <f>SUM(D116:D116)</f>
        <v>160.4</v>
      </c>
      <c r="E115" s="48" t="s">
        <v>41</v>
      </c>
      <c r="F115" s="40" t="s">
        <v>42</v>
      </c>
    </row>
    <row r="116" spans="1:7" s="41" customFormat="1" x14ac:dyDescent="0.2">
      <c r="A116" s="69"/>
      <c r="B116" s="424" t="s">
        <v>398</v>
      </c>
      <c r="C116" s="427"/>
      <c r="D116" s="58">
        <f>(8*(15.75+4.3))</f>
        <v>160.4</v>
      </c>
      <c r="E116" s="59"/>
      <c r="F116" s="40"/>
    </row>
    <row r="117" spans="1:7" s="41" customFormat="1" x14ac:dyDescent="0.2">
      <c r="A117" s="428"/>
      <c r="B117" s="429"/>
      <c r="C117" s="429"/>
      <c r="D117" s="429"/>
      <c r="E117" s="430"/>
      <c r="F117" s="40"/>
    </row>
    <row r="118" spans="1:7" s="41" customFormat="1" x14ac:dyDescent="0.2">
      <c r="A118" s="416" t="s">
        <v>121</v>
      </c>
      <c r="B118" s="426"/>
      <c r="C118" s="426"/>
      <c r="D118" s="68">
        <f>SUM(D119:D119)</f>
        <v>20.64</v>
      </c>
      <c r="E118" s="48" t="s">
        <v>55</v>
      </c>
      <c r="F118" s="40" t="s">
        <v>42</v>
      </c>
    </row>
    <row r="119" spans="1:7" s="41" customFormat="1" x14ac:dyDescent="0.2">
      <c r="A119" s="69"/>
      <c r="B119" s="424" t="s">
        <v>399</v>
      </c>
      <c r="C119" s="427"/>
      <c r="D119" s="58">
        <f>15.97+4.67</f>
        <v>20.64</v>
      </c>
      <c r="E119" s="59"/>
      <c r="F119" s="40"/>
    </row>
    <row r="120" spans="1:7" s="41" customFormat="1" x14ac:dyDescent="0.2">
      <c r="A120" s="428"/>
      <c r="B120" s="429"/>
      <c r="C120" s="429"/>
      <c r="D120" s="429"/>
      <c r="E120" s="430"/>
      <c r="F120" s="40"/>
    </row>
    <row r="121" spans="1:7" s="41" customFormat="1" x14ac:dyDescent="0.2">
      <c r="A121" s="416" t="s">
        <v>129</v>
      </c>
      <c r="B121" s="426"/>
      <c r="C121" s="426"/>
      <c r="D121" s="68">
        <f>SUM(D122:D122)</f>
        <v>59.6</v>
      </c>
      <c r="E121" s="48" t="s">
        <v>55</v>
      </c>
      <c r="F121" s="40" t="s">
        <v>42</v>
      </c>
    </row>
    <row r="122" spans="1:7" s="41" customFormat="1" x14ac:dyDescent="0.2">
      <c r="A122" s="69"/>
      <c r="B122" s="424">
        <v>59.6</v>
      </c>
      <c r="C122" s="427"/>
      <c r="D122" s="58">
        <f>59.6</f>
        <v>59.6</v>
      </c>
      <c r="E122" s="59"/>
      <c r="F122" s="40"/>
    </row>
    <row r="123" spans="1:7" s="41" customFormat="1" x14ac:dyDescent="0.2">
      <c r="A123" s="428"/>
      <c r="B123" s="429"/>
      <c r="C123" s="429"/>
      <c r="D123" s="429"/>
      <c r="E123" s="430"/>
      <c r="F123" s="40"/>
    </row>
    <row r="124" spans="1:7" s="41" customFormat="1" x14ac:dyDescent="0.2">
      <c r="A124" s="416" t="s">
        <v>190</v>
      </c>
      <c r="B124" s="426"/>
      <c r="C124" s="426"/>
      <c r="D124" s="68">
        <f>SUM(D125:D127)</f>
        <v>681.58500000000004</v>
      </c>
      <c r="E124" s="48" t="s">
        <v>41</v>
      </c>
      <c r="F124" s="40" t="s">
        <v>42</v>
      </c>
    </row>
    <row r="125" spans="1:7" s="41" customFormat="1" ht="25.5" customHeight="1" x14ac:dyDescent="0.2">
      <c r="A125" s="63" t="s">
        <v>97</v>
      </c>
      <c r="B125" s="413" t="s">
        <v>403</v>
      </c>
      <c r="C125" s="438"/>
      <c r="D125" s="71">
        <f>((13.82*3.5)+(40.6*3)+(20.07*3.5)+(7.2*3.5)+ (39.6*3)) - (((0.5*2*4)+(1*2*4)+(0.8*0.8*2)+(1*1.2*2)+(1*1.5*2))*2)</f>
        <v>347.05500000000001</v>
      </c>
      <c r="E125" s="72"/>
      <c r="F125" s="40"/>
    </row>
    <row r="126" spans="1:7" s="41" customFormat="1" ht="26.25" customHeight="1" x14ac:dyDescent="0.2">
      <c r="A126" s="63" t="s">
        <v>98</v>
      </c>
      <c r="B126" s="413" t="s">
        <v>404</v>
      </c>
      <c r="C126" s="414"/>
      <c r="D126" s="71">
        <f>((16*3.4*2)+(14.1*3.4*2)+(2.8*2*9)) - (((0.8*2.1)+(0.8*1.5)+(1*1.5*5)+(1.5*2.1*2)+(0.8*2.1*8))*2)</f>
        <v>194.84</v>
      </c>
      <c r="E126" s="72"/>
      <c r="F126" s="40"/>
    </row>
    <row r="127" spans="1:7" s="41" customFormat="1" x14ac:dyDescent="0.2">
      <c r="A127" s="157" t="s">
        <v>99</v>
      </c>
      <c r="B127" s="413" t="s">
        <v>407</v>
      </c>
      <c r="C127" s="415"/>
      <c r="D127" s="67">
        <f>(1.4*2*27.2) + (41*0.65*2) + (0.15*41) + (0.15*27.2)</f>
        <v>139.69000000000003</v>
      </c>
      <c r="E127" s="113"/>
      <c r="F127" s="40"/>
    </row>
    <row r="128" spans="1:7" s="41" customFormat="1" x14ac:dyDescent="0.2">
      <c r="A128" s="435"/>
      <c r="B128" s="436"/>
      <c r="C128" s="436"/>
      <c r="D128" s="436"/>
      <c r="E128" s="437"/>
      <c r="F128" s="40"/>
    </row>
    <row r="129" spans="1:7" s="41" customFormat="1" x14ac:dyDescent="0.2">
      <c r="A129" s="416" t="s">
        <v>180</v>
      </c>
      <c r="B129" s="426"/>
      <c r="C129" s="426"/>
      <c r="D129" s="68">
        <f>SUM(D130:D133)</f>
        <v>898.88499999999999</v>
      </c>
      <c r="E129" s="48" t="s">
        <v>41</v>
      </c>
      <c r="F129" s="40" t="s">
        <v>42</v>
      </c>
      <c r="G129" s="54"/>
    </row>
    <row r="130" spans="1:7" s="41" customFormat="1" ht="24.75" customHeight="1" x14ac:dyDescent="0.2">
      <c r="A130" s="63" t="s">
        <v>97</v>
      </c>
      <c r="B130" s="413" t="s">
        <v>403</v>
      </c>
      <c r="C130" s="415"/>
      <c r="D130" s="58">
        <f>((13.82*3.5)+(40.6*3)+(20.07*3.5)+(7.2*3.5)+ (39.6*3)) - (((0.5*2*4)+(1*2*4)+(0.8*0.8*2)+(1*1.2*2)+(1*1.5*2))*2)</f>
        <v>347.05500000000001</v>
      </c>
      <c r="E130" s="59"/>
      <c r="F130" s="40"/>
    </row>
    <row r="131" spans="1:7" ht="26.25" customHeight="1" x14ac:dyDescent="0.25">
      <c r="A131" s="63" t="s">
        <v>98</v>
      </c>
      <c r="B131" s="413" t="s">
        <v>404</v>
      </c>
      <c r="C131" s="438"/>
      <c r="D131" s="71">
        <f>((16*3.4*2)+(14.1*3.4*2)+(2.8*2*9)) - (((0.8*2.1)+(0.8*1.5)+(1*1.5*5)+(1.5*2.1*2)+(0.8*2.1*8))*2)</f>
        <v>194.84</v>
      </c>
      <c r="E131" s="72"/>
    </row>
    <row r="132" spans="1:7" x14ac:dyDescent="0.25">
      <c r="A132" s="63" t="s">
        <v>179</v>
      </c>
      <c r="B132" s="424" t="s">
        <v>405</v>
      </c>
      <c r="C132" s="425"/>
      <c r="D132" s="71">
        <f>(6.8*8.2) + (19.7*8.2)</f>
        <v>217.29999999999998</v>
      </c>
      <c r="E132" s="72"/>
    </row>
    <row r="133" spans="1:7" x14ac:dyDescent="0.25">
      <c r="A133" s="159" t="s">
        <v>99</v>
      </c>
      <c r="B133" s="413" t="s">
        <v>407</v>
      </c>
      <c r="C133" s="415"/>
      <c r="D133" s="67">
        <f>(1.4*2*27.2) + (41*0.65*2) + (0.15*41) + (0.15*27.2)</f>
        <v>139.69000000000003</v>
      </c>
      <c r="E133" s="113"/>
    </row>
    <row r="134" spans="1:7" x14ac:dyDescent="0.25">
      <c r="A134" s="435"/>
      <c r="B134" s="436"/>
      <c r="C134" s="436"/>
      <c r="D134" s="436"/>
      <c r="E134" s="437"/>
    </row>
    <row r="135" spans="1:7" x14ac:dyDescent="0.25">
      <c r="A135" s="416" t="s">
        <v>430</v>
      </c>
      <c r="B135" s="426"/>
      <c r="C135" s="426"/>
      <c r="D135" s="68">
        <f>SUM(D136:D137)</f>
        <v>5.952</v>
      </c>
      <c r="E135" s="48" t="s">
        <v>45</v>
      </c>
      <c r="F135" s="37" t="s">
        <v>42</v>
      </c>
    </row>
    <row r="136" spans="1:7" x14ac:dyDescent="0.25">
      <c r="A136" s="52" t="s">
        <v>416</v>
      </c>
      <c r="B136" s="424" t="s">
        <v>429</v>
      </c>
      <c r="C136" s="427"/>
      <c r="D136" s="58">
        <f>(1.76*1.2)</f>
        <v>2.1120000000000001</v>
      </c>
      <c r="E136" s="59"/>
    </row>
    <row r="137" spans="1:7" x14ac:dyDescent="0.25">
      <c r="A137" s="104" t="s">
        <v>431</v>
      </c>
      <c r="B137" s="424" t="s">
        <v>443</v>
      </c>
      <c r="C137" s="425"/>
      <c r="D137" s="118">
        <f>(4.8*0.4*2)</f>
        <v>3.84</v>
      </c>
      <c r="E137" s="59"/>
    </row>
    <row r="138" spans="1:7" x14ac:dyDescent="0.25">
      <c r="A138" s="428"/>
      <c r="B138" s="429"/>
      <c r="C138" s="429"/>
      <c r="D138" s="429"/>
      <c r="E138" s="430"/>
    </row>
    <row r="139" spans="1:7" x14ac:dyDescent="0.25">
      <c r="A139" s="416" t="s">
        <v>101</v>
      </c>
      <c r="B139" s="426"/>
      <c r="C139" s="426"/>
      <c r="D139" s="68">
        <f>SUM(D140:D140)</f>
        <v>19.847999999999999</v>
      </c>
      <c r="E139" s="48" t="s">
        <v>41</v>
      </c>
      <c r="F139" s="37" t="s">
        <v>42</v>
      </c>
    </row>
    <row r="140" spans="1:7" x14ac:dyDescent="0.25">
      <c r="A140" s="104" t="s">
        <v>431</v>
      </c>
      <c r="B140" s="424" t="s">
        <v>442</v>
      </c>
      <c r="C140" s="427"/>
      <c r="D140" s="58">
        <f>(4.8*2) + (0.18*0.6*2*2) + (0.18*8*2*2) + 2.4 + (0.18*9.2)</f>
        <v>19.847999999999999</v>
      </c>
      <c r="E140" s="59"/>
    </row>
    <row r="141" spans="1:7" x14ac:dyDescent="0.25">
      <c r="A141" s="428"/>
      <c r="B141" s="429"/>
      <c r="C141" s="429"/>
      <c r="D141" s="429"/>
      <c r="E141" s="430"/>
    </row>
    <row r="142" spans="1:7" x14ac:dyDescent="0.25">
      <c r="A142" s="416" t="s">
        <v>239</v>
      </c>
      <c r="B142" s="426"/>
      <c r="C142" s="426"/>
      <c r="D142" s="68">
        <f>SUM(D143:D143)</f>
        <v>146.75</v>
      </c>
      <c r="E142" s="48" t="s">
        <v>41</v>
      </c>
      <c r="F142" s="37" t="s">
        <v>42</v>
      </c>
    </row>
    <row r="143" spans="1:7" x14ac:dyDescent="0.25">
      <c r="A143" s="69"/>
      <c r="B143" s="424" t="s">
        <v>445</v>
      </c>
      <c r="C143" s="427"/>
      <c r="D143" s="58">
        <f>34.65+5.6+13.44+(6.44*2)+10.64+(5.88*2)+(5.6*2)+5.1+14.28+27.2</f>
        <v>146.75</v>
      </c>
      <c r="E143" s="59"/>
    </row>
    <row r="144" spans="1:7" x14ac:dyDescent="0.25">
      <c r="A144" s="428"/>
      <c r="B144" s="429"/>
      <c r="C144" s="429"/>
      <c r="D144" s="429"/>
      <c r="E144" s="430"/>
    </row>
    <row r="145" spans="1:6" x14ac:dyDescent="0.25">
      <c r="A145" s="416" t="s">
        <v>181</v>
      </c>
      <c r="B145" s="417"/>
      <c r="C145" s="434"/>
      <c r="D145" s="68">
        <f>SUM(D146:D146)</f>
        <v>153.89999999999998</v>
      </c>
      <c r="E145" s="48" t="s">
        <v>55</v>
      </c>
      <c r="F145" s="37" t="s">
        <v>42</v>
      </c>
    </row>
    <row r="146" spans="1:6" ht="26.25" customHeight="1" x14ac:dyDescent="0.25">
      <c r="A146" s="69"/>
      <c r="B146" s="413" t="s">
        <v>446</v>
      </c>
      <c r="C146" s="415"/>
      <c r="D146" s="58">
        <f>((9.8*2)+(9.6*2)+9.4+15.8+35.4+9.6+15.2+(10.2*2)+13.2+24.4) -((0.8*9*2)+(1.5*4)+(1.7*2)+4.5)</f>
        <v>153.89999999999998</v>
      </c>
      <c r="E146" s="59"/>
    </row>
    <row r="147" spans="1:6" x14ac:dyDescent="0.25">
      <c r="A147" s="428"/>
      <c r="B147" s="429"/>
      <c r="C147" s="429"/>
      <c r="D147" s="429"/>
      <c r="E147" s="430"/>
    </row>
    <row r="148" spans="1:6" x14ac:dyDescent="0.25">
      <c r="A148" s="416" t="s">
        <v>177</v>
      </c>
      <c r="B148" s="426"/>
      <c r="C148" s="426"/>
      <c r="D148" s="68"/>
      <c r="E148" s="48" t="s">
        <v>41</v>
      </c>
    </row>
    <row r="149" spans="1:6" x14ac:dyDescent="0.25">
      <c r="A149" s="160" t="s">
        <v>447</v>
      </c>
      <c r="B149" s="424" t="s">
        <v>465</v>
      </c>
      <c r="C149" s="425"/>
      <c r="D149" s="135">
        <f>0.6*1.6*4</f>
        <v>3.84</v>
      </c>
      <c r="E149" s="59"/>
    </row>
    <row r="150" spans="1:6" x14ac:dyDescent="0.25">
      <c r="A150" s="160" t="s">
        <v>463</v>
      </c>
      <c r="B150" s="424" t="s">
        <v>464</v>
      </c>
      <c r="C150" s="427"/>
      <c r="D150" s="58">
        <f>(1.5*2.1*3)+(0.8*2.1)</f>
        <v>11.13</v>
      </c>
      <c r="E150" s="59"/>
      <c r="F150" s="37" t="s">
        <v>42</v>
      </c>
    </row>
    <row r="151" spans="1:6" x14ac:dyDescent="0.25">
      <c r="A151" s="428"/>
      <c r="B151" s="429"/>
      <c r="C151" s="429"/>
      <c r="D151" s="429"/>
      <c r="E151" s="430"/>
    </row>
    <row r="152" spans="1:6" x14ac:dyDescent="0.25">
      <c r="A152" s="416" t="s">
        <v>189</v>
      </c>
      <c r="B152" s="426"/>
      <c r="C152" s="426"/>
      <c r="D152" s="68"/>
      <c r="E152" s="48" t="s">
        <v>41</v>
      </c>
    </row>
    <row r="153" spans="1:6" x14ac:dyDescent="0.25">
      <c r="A153" s="69" t="s">
        <v>448</v>
      </c>
      <c r="B153" s="424" t="s">
        <v>449</v>
      </c>
      <c r="C153" s="427"/>
      <c r="D153" s="58">
        <f>(1*1.2*2)+(0.8*0.8*2)</f>
        <v>3.68</v>
      </c>
      <c r="E153" s="59"/>
      <c r="F153" s="37" t="s">
        <v>42</v>
      </c>
    </row>
    <row r="154" spans="1:6" x14ac:dyDescent="0.25">
      <c r="A154" s="160" t="s">
        <v>187</v>
      </c>
      <c r="B154" s="424" t="s">
        <v>450</v>
      </c>
      <c r="C154" s="425"/>
      <c r="D154" s="135">
        <f>1*1.5*2</f>
        <v>3</v>
      </c>
      <c r="E154" s="59"/>
      <c r="F154" s="37" t="s">
        <v>42</v>
      </c>
    </row>
    <row r="155" spans="1:6" x14ac:dyDescent="0.25">
      <c r="A155" s="160" t="s">
        <v>451</v>
      </c>
      <c r="B155" s="424" t="s">
        <v>452</v>
      </c>
      <c r="C155" s="425"/>
      <c r="D155" s="135">
        <f>1*1.2*4</f>
        <v>4.8</v>
      </c>
      <c r="E155" s="59"/>
      <c r="F155" s="37" t="s">
        <v>42</v>
      </c>
    </row>
    <row r="156" spans="1:6" x14ac:dyDescent="0.25">
      <c r="A156" s="160" t="s">
        <v>453</v>
      </c>
      <c r="B156" s="424" t="s">
        <v>454</v>
      </c>
      <c r="C156" s="425"/>
      <c r="D156" s="135">
        <f>(1*1.5*5)+(0.8*1.5*1)+(0.5*2*6)</f>
        <v>14.7</v>
      </c>
      <c r="E156" s="59"/>
      <c r="F156" s="37" t="s">
        <v>42</v>
      </c>
    </row>
    <row r="157" spans="1:6" x14ac:dyDescent="0.25">
      <c r="A157" s="428"/>
      <c r="B157" s="429"/>
      <c r="C157" s="429"/>
      <c r="D157" s="429"/>
      <c r="E157" s="430"/>
    </row>
    <row r="158" spans="1:6" x14ac:dyDescent="0.25">
      <c r="A158" s="416" t="s">
        <v>460</v>
      </c>
      <c r="B158" s="426"/>
      <c r="C158" s="426"/>
      <c r="D158" s="68">
        <f>SUM(D159:D159)</f>
        <v>103.92000000000002</v>
      </c>
      <c r="E158" s="48" t="s">
        <v>41</v>
      </c>
      <c r="F158" s="37" t="s">
        <v>42</v>
      </c>
    </row>
    <row r="159" spans="1:6" x14ac:dyDescent="0.25">
      <c r="A159" s="69"/>
      <c r="B159" s="424" t="s">
        <v>461</v>
      </c>
      <c r="C159" s="427"/>
      <c r="D159" s="58">
        <f>436.73-332.81</f>
        <v>103.92000000000002</v>
      </c>
      <c r="E159" s="59"/>
    </row>
    <row r="160" spans="1:6" x14ac:dyDescent="0.25">
      <c r="A160" s="428"/>
      <c r="B160" s="429"/>
      <c r="C160" s="429"/>
      <c r="D160" s="429"/>
      <c r="E160" s="430"/>
    </row>
    <row r="161" spans="1:6" x14ac:dyDescent="0.25">
      <c r="A161" s="416" t="s">
        <v>182</v>
      </c>
      <c r="B161" s="426"/>
      <c r="C161" s="426"/>
      <c r="D161" s="68">
        <f>SUM(D162:D162)</f>
        <v>2.2349999999999999</v>
      </c>
      <c r="E161" s="48" t="s">
        <v>41</v>
      </c>
      <c r="F161" s="37" t="s">
        <v>42</v>
      </c>
    </row>
    <row r="162" spans="1:6" x14ac:dyDescent="0.25">
      <c r="A162" s="69" t="s">
        <v>455</v>
      </c>
      <c r="B162" s="424" t="s">
        <v>456</v>
      </c>
      <c r="C162" s="427"/>
      <c r="D162" s="58">
        <f>(0.8*0.15*9)+(1.5*0.15*3)+(0.6*0.15*4)+(0.8*0.15*1)</f>
        <v>2.2349999999999999</v>
      </c>
      <c r="E162" s="59"/>
    </row>
    <row r="163" spans="1:6" x14ac:dyDescent="0.25">
      <c r="A163" s="428"/>
      <c r="B163" s="429"/>
      <c r="C163" s="429"/>
      <c r="D163" s="429"/>
      <c r="E163" s="430"/>
    </row>
    <row r="164" spans="1:6" x14ac:dyDescent="0.25">
      <c r="A164" s="416" t="s">
        <v>185</v>
      </c>
      <c r="B164" s="426"/>
      <c r="C164" s="426"/>
      <c r="D164" s="68">
        <f>SUM(D165:D165)</f>
        <v>18.399999999999999</v>
      </c>
      <c r="E164" s="48" t="s">
        <v>55</v>
      </c>
      <c r="F164" s="37" t="s">
        <v>42</v>
      </c>
    </row>
    <row r="165" spans="1:6" ht="24" x14ac:dyDescent="0.25">
      <c r="A165" s="168" t="s">
        <v>457</v>
      </c>
      <c r="B165" s="424" t="s">
        <v>458</v>
      </c>
      <c r="C165" s="427"/>
      <c r="D165" s="58">
        <f>(1*2) + (1*2) + (1*4) + (0.8*2) + (1*5) + (0.8*1) + (0.5*6)</f>
        <v>18.399999999999999</v>
      </c>
      <c r="E165" s="59"/>
    </row>
    <row r="166" spans="1:6" x14ac:dyDescent="0.25">
      <c r="A166" s="428"/>
      <c r="B166" s="429"/>
      <c r="C166" s="429"/>
      <c r="D166" s="429"/>
      <c r="E166" s="430"/>
    </row>
    <row r="167" spans="1:6" x14ac:dyDescent="0.25">
      <c r="A167" s="416" t="s">
        <v>469</v>
      </c>
      <c r="B167" s="426"/>
      <c r="C167" s="426"/>
      <c r="D167" s="68">
        <f>SUM(D168:D168)</f>
        <v>11.200000000000001</v>
      </c>
      <c r="E167" s="48" t="s">
        <v>55</v>
      </c>
      <c r="F167" s="37" t="s">
        <v>42</v>
      </c>
    </row>
    <row r="168" spans="1:6" x14ac:dyDescent="0.25">
      <c r="A168" s="168" t="s">
        <v>470</v>
      </c>
      <c r="B168" s="424" t="s">
        <v>471</v>
      </c>
      <c r="C168" s="427"/>
      <c r="D168" s="58">
        <f>(0.8*14)</f>
        <v>11.200000000000001</v>
      </c>
      <c r="E168" s="59"/>
    </row>
    <row r="169" spans="1:6" x14ac:dyDescent="0.25">
      <c r="A169" s="428"/>
      <c r="B169" s="429"/>
      <c r="C169" s="429"/>
      <c r="D169" s="429"/>
      <c r="E169" s="430"/>
    </row>
    <row r="170" spans="1:6" x14ac:dyDescent="0.25">
      <c r="A170" s="416" t="s">
        <v>800</v>
      </c>
      <c r="B170" s="426"/>
      <c r="C170" s="426"/>
      <c r="D170" s="68">
        <f>SUM(D171:D171)</f>
        <v>184</v>
      </c>
      <c r="E170" s="48" t="s">
        <v>55</v>
      </c>
    </row>
    <row r="171" spans="1:6" x14ac:dyDescent="0.25">
      <c r="A171" s="168"/>
      <c r="B171" s="424" t="s">
        <v>871</v>
      </c>
      <c r="C171" s="427"/>
      <c r="D171" s="58">
        <f>(4*3) + (8*8) + (6*10) + (6*4) + (4*4) + (2*4)</f>
        <v>184</v>
      </c>
      <c r="E171" s="59"/>
    </row>
    <row r="172" spans="1:6" x14ac:dyDescent="0.25">
      <c r="A172" s="428"/>
      <c r="B172" s="429"/>
      <c r="C172" s="429"/>
      <c r="D172" s="429"/>
      <c r="E172" s="430"/>
    </row>
  </sheetData>
  <mergeCells count="173">
    <mergeCell ref="B171:C171"/>
    <mergeCell ref="A172:E172"/>
    <mergeCell ref="B37:C37"/>
    <mergeCell ref="B60:C60"/>
    <mergeCell ref="B101:C101"/>
    <mergeCell ref="A69:C69"/>
    <mergeCell ref="B70:C70"/>
    <mergeCell ref="B72:C72"/>
    <mergeCell ref="B73:C73"/>
    <mergeCell ref="B74:C74"/>
    <mergeCell ref="B76:C76"/>
    <mergeCell ref="B83:C83"/>
    <mergeCell ref="A84:E84"/>
    <mergeCell ref="B75:C75"/>
    <mergeCell ref="B88:C88"/>
    <mergeCell ref="A167:C167"/>
    <mergeCell ref="B168:C168"/>
    <mergeCell ref="A169:E169"/>
    <mergeCell ref="B146:C146"/>
    <mergeCell ref="A129:C129"/>
    <mergeCell ref="A145:C145"/>
    <mergeCell ref="A121:C121"/>
    <mergeCell ref="B122:C122"/>
    <mergeCell ref="A123:E123"/>
    <mergeCell ref="B36:C36"/>
    <mergeCell ref="B100:C100"/>
    <mergeCell ref="B59:C59"/>
    <mergeCell ref="A170:C170"/>
    <mergeCell ref="B116:C116"/>
    <mergeCell ref="A117:E117"/>
    <mergeCell ref="A118:C118"/>
    <mergeCell ref="B119:C119"/>
    <mergeCell ref="A120:E120"/>
    <mergeCell ref="A147:E147"/>
    <mergeCell ref="A148:C148"/>
    <mergeCell ref="B149:C149"/>
    <mergeCell ref="B140:C140"/>
    <mergeCell ref="A141:E141"/>
    <mergeCell ref="A144:E144"/>
    <mergeCell ref="B136:C136"/>
    <mergeCell ref="A138:E138"/>
    <mergeCell ref="A139:C139"/>
    <mergeCell ref="B137:C137"/>
    <mergeCell ref="B143:C143"/>
    <mergeCell ref="B103:C103"/>
    <mergeCell ref="B104:C104"/>
    <mergeCell ref="B105:C105"/>
    <mergeCell ref="B106:C106"/>
    <mergeCell ref="B41:C41"/>
    <mergeCell ref="A44:C44"/>
    <mergeCell ref="B45:C45"/>
    <mergeCell ref="B46:C46"/>
    <mergeCell ref="B130:C130"/>
    <mergeCell ref="B133:C133"/>
    <mergeCell ref="A134:E134"/>
    <mergeCell ref="A135:C135"/>
    <mergeCell ref="B131:C131"/>
    <mergeCell ref="B132:C132"/>
    <mergeCell ref="A124:C124"/>
    <mergeCell ref="B125:C125"/>
    <mergeCell ref="B126:C126"/>
    <mergeCell ref="B127:C127"/>
    <mergeCell ref="A128:E128"/>
    <mergeCell ref="B97:C97"/>
    <mergeCell ref="B98:C98"/>
    <mergeCell ref="B102:C102"/>
    <mergeCell ref="A108:E108"/>
    <mergeCell ref="A109:C109"/>
    <mergeCell ref="B110:C110"/>
    <mergeCell ref="B99:C99"/>
    <mergeCell ref="B112:C112"/>
    <mergeCell ref="B77:C77"/>
    <mergeCell ref="A90:C90"/>
    <mergeCell ref="B91:C91"/>
    <mergeCell ref="B92:C92"/>
    <mergeCell ref="A94:E94"/>
    <mergeCell ref="A95:C95"/>
    <mergeCell ref="B96:C96"/>
    <mergeCell ref="B86:C86"/>
    <mergeCell ref="A89:E89"/>
    <mergeCell ref="B107:C107"/>
    <mergeCell ref="B93:C93"/>
    <mergeCell ref="B87:C87"/>
    <mergeCell ref="D1:E1"/>
    <mergeCell ref="A2:B2"/>
    <mergeCell ref="D2:E2"/>
    <mergeCell ref="A3:E3"/>
    <mergeCell ref="A4:C4"/>
    <mergeCell ref="A5:C5"/>
    <mergeCell ref="B12:C12"/>
    <mergeCell ref="A16:E16"/>
    <mergeCell ref="A17:C17"/>
    <mergeCell ref="B14:C14"/>
    <mergeCell ref="A6:C6"/>
    <mergeCell ref="B7:C7"/>
    <mergeCell ref="A8:E8"/>
    <mergeCell ref="A9:C9"/>
    <mergeCell ref="B10:C10"/>
    <mergeCell ref="B11:C11"/>
    <mergeCell ref="B13:C13"/>
    <mergeCell ref="B15:C15"/>
    <mergeCell ref="B18:C18"/>
    <mergeCell ref="B19:C19"/>
    <mergeCell ref="B20:C20"/>
    <mergeCell ref="A30:E30"/>
    <mergeCell ref="A31:C31"/>
    <mergeCell ref="B32:C32"/>
    <mergeCell ref="B33:C33"/>
    <mergeCell ref="B34:C34"/>
    <mergeCell ref="B35:C35"/>
    <mergeCell ref="A24:E24"/>
    <mergeCell ref="A25:C25"/>
    <mergeCell ref="B26:C26"/>
    <mergeCell ref="A27:E27"/>
    <mergeCell ref="A28:C28"/>
    <mergeCell ref="B29:C29"/>
    <mergeCell ref="A142:C142"/>
    <mergeCell ref="B54:C54"/>
    <mergeCell ref="B56:C56"/>
    <mergeCell ref="B57:C57"/>
    <mergeCell ref="B58:C58"/>
    <mergeCell ref="B61:C61"/>
    <mergeCell ref="B62:C62"/>
    <mergeCell ref="B22:C22"/>
    <mergeCell ref="B21:C21"/>
    <mergeCell ref="B23:C23"/>
    <mergeCell ref="B42:C42"/>
    <mergeCell ref="B50:C50"/>
    <mergeCell ref="B51:C51"/>
    <mergeCell ref="B55:C55"/>
    <mergeCell ref="B38:C38"/>
    <mergeCell ref="B39:C39"/>
    <mergeCell ref="B40:C40"/>
    <mergeCell ref="A43:E43"/>
    <mergeCell ref="A47:E47"/>
    <mergeCell ref="B111:C111"/>
    <mergeCell ref="B113:C113"/>
    <mergeCell ref="A114:E114"/>
    <mergeCell ref="A115:C115"/>
    <mergeCell ref="B65:C65"/>
    <mergeCell ref="B63:C63"/>
    <mergeCell ref="B64:C64"/>
    <mergeCell ref="A68:E68"/>
    <mergeCell ref="A85:C85"/>
    <mergeCell ref="B67:C67"/>
    <mergeCell ref="A48:C48"/>
    <mergeCell ref="B49:C49"/>
    <mergeCell ref="A52:E52"/>
    <mergeCell ref="A53:C53"/>
    <mergeCell ref="B66:C66"/>
    <mergeCell ref="B78:C78"/>
    <mergeCell ref="B79:C79"/>
    <mergeCell ref="B80:C80"/>
    <mergeCell ref="B81:C81"/>
    <mergeCell ref="B82:C82"/>
    <mergeCell ref="B71:C71"/>
    <mergeCell ref="A166:E166"/>
    <mergeCell ref="B155:C155"/>
    <mergeCell ref="B154:C154"/>
    <mergeCell ref="A158:C158"/>
    <mergeCell ref="B159:C159"/>
    <mergeCell ref="A160:E160"/>
    <mergeCell ref="B150:C150"/>
    <mergeCell ref="A151:E151"/>
    <mergeCell ref="A152:C152"/>
    <mergeCell ref="B153:C153"/>
    <mergeCell ref="B156:C156"/>
    <mergeCell ref="A157:E157"/>
    <mergeCell ref="A161:C161"/>
    <mergeCell ref="B162:C162"/>
    <mergeCell ref="A163:E163"/>
    <mergeCell ref="A164:C164"/>
    <mergeCell ref="B165:C165"/>
  </mergeCells>
  <printOptions horizontalCentered="1"/>
  <pageMargins left="0.98425196850393704" right="0.98425196850393704" top="0.98425196850393704" bottom="0.98425196850393704" header="0.31496062992125984" footer="0.31496062992125984"/>
  <pageSetup paperSize="9" scale="75" orientation="portrait" verticalDpi="200" r:id="rId1"/>
  <headerFooter>
    <oddHeader>&amp;L&amp;G&amp;R&amp;G</oddHead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0D7C45-C444-4C7A-8436-4979277FCE41}">
  <sheetPr codeName="Planilha18"/>
  <dimension ref="A1:H70"/>
  <sheetViews>
    <sheetView view="pageBreakPreview" zoomScaleSheetLayoutView="100" workbookViewId="0"/>
  </sheetViews>
  <sheetFormatPr defaultRowHeight="15" x14ac:dyDescent="0.25"/>
  <cols>
    <col min="1" max="1" width="15.28515625" style="73" customWidth="1"/>
    <col min="2" max="2" width="30.7109375" style="38" customWidth="1"/>
    <col min="3" max="3" width="43.140625" style="38" customWidth="1"/>
    <col min="4" max="4" width="10.7109375" style="38" customWidth="1"/>
    <col min="5" max="5" width="7.7109375" style="38" customWidth="1"/>
    <col min="6" max="6" width="3.7109375" style="37" bestFit="1" customWidth="1"/>
    <col min="7" max="16384" width="9.140625" style="38"/>
  </cols>
  <sheetData>
    <row r="1" spans="1:7" x14ac:dyDescent="0.25">
      <c r="A1" s="163" t="s">
        <v>35</v>
      </c>
      <c r="B1" s="35"/>
      <c r="C1" s="36" t="s">
        <v>36</v>
      </c>
      <c r="D1" s="441" t="s">
        <v>37</v>
      </c>
      <c r="E1" s="442"/>
    </row>
    <row r="2" spans="1:7" s="39" customFormat="1" ht="24.75" customHeight="1" x14ac:dyDescent="0.2">
      <c r="A2" s="443" t="s">
        <v>57</v>
      </c>
      <c r="B2" s="444"/>
      <c r="C2" s="164" t="s">
        <v>472</v>
      </c>
      <c r="D2" s="445">
        <v>44424</v>
      </c>
      <c r="E2" s="446"/>
      <c r="F2" s="37"/>
    </row>
    <row r="3" spans="1:7" s="41" customFormat="1" x14ac:dyDescent="0.2">
      <c r="A3" s="410"/>
      <c r="B3" s="411"/>
      <c r="C3" s="411"/>
      <c r="D3" s="447"/>
      <c r="E3" s="448"/>
      <c r="F3" s="40"/>
    </row>
    <row r="4" spans="1:7" s="45" customFormat="1" ht="18" customHeight="1" x14ac:dyDescent="0.2">
      <c r="A4" s="449" t="s">
        <v>38</v>
      </c>
      <c r="B4" s="450"/>
      <c r="C4" s="450"/>
      <c r="D4" s="42" t="s">
        <v>39</v>
      </c>
      <c r="E4" s="43" t="s">
        <v>34</v>
      </c>
      <c r="F4" s="44"/>
    </row>
    <row r="5" spans="1:7" s="47" customFormat="1" ht="12.75" x14ac:dyDescent="0.2">
      <c r="A5" s="451"/>
      <c r="B5" s="452"/>
      <c r="C5" s="452"/>
      <c r="D5" s="74"/>
      <c r="E5" s="46"/>
      <c r="F5" s="40"/>
    </row>
    <row r="6" spans="1:7" s="51" customFormat="1" ht="16.5" customHeight="1" x14ac:dyDescent="0.2">
      <c r="A6" s="416" t="s">
        <v>40</v>
      </c>
      <c r="B6" s="417"/>
      <c r="C6" s="417"/>
      <c r="D6" s="75">
        <f>SUM(D7:D7)</f>
        <v>66.37</v>
      </c>
      <c r="E6" s="48" t="s">
        <v>41</v>
      </c>
      <c r="F6" s="49" t="s">
        <v>42</v>
      </c>
      <c r="G6" s="50" t="s">
        <v>43</v>
      </c>
    </row>
    <row r="7" spans="1:7" s="41" customFormat="1" ht="15.75" customHeight="1" x14ac:dyDescent="0.2">
      <c r="A7" s="52"/>
      <c r="B7" s="420">
        <v>66.37</v>
      </c>
      <c r="C7" s="421"/>
      <c r="D7" s="53">
        <f>66.37</f>
        <v>66.37</v>
      </c>
      <c r="E7" s="46"/>
      <c r="F7" s="40"/>
      <c r="G7" s="54"/>
    </row>
    <row r="8" spans="1:7" s="41" customFormat="1" ht="15.75" customHeight="1" x14ac:dyDescent="0.2">
      <c r="A8" s="410"/>
      <c r="B8" s="411"/>
      <c r="C8" s="411"/>
      <c r="D8" s="411"/>
      <c r="E8" s="412"/>
      <c r="F8" s="40"/>
    </row>
    <row r="9" spans="1:7" s="51" customFormat="1" ht="16.5" customHeight="1" x14ac:dyDescent="0.2">
      <c r="A9" s="439" t="s">
        <v>44</v>
      </c>
      <c r="B9" s="440"/>
      <c r="C9" s="440"/>
      <c r="D9" s="76">
        <f>SUM(D10:D10)*1.05</f>
        <v>735.67189500000006</v>
      </c>
      <c r="E9" s="48" t="s">
        <v>45</v>
      </c>
      <c r="F9" s="49" t="s">
        <v>42</v>
      </c>
      <c r="G9" s="50" t="s">
        <v>43</v>
      </c>
    </row>
    <row r="10" spans="1:7" s="41" customFormat="1" ht="15" customHeight="1" x14ac:dyDescent="0.2">
      <c r="A10" s="106"/>
      <c r="B10" s="453" t="s">
        <v>473</v>
      </c>
      <c r="C10" s="454"/>
      <c r="D10" s="55">
        <f>(41.85*5) + (21.43*22.93)</f>
        <v>700.63990000000001</v>
      </c>
      <c r="E10" s="46"/>
      <c r="F10" s="40"/>
      <c r="G10" s="54"/>
    </row>
    <row r="11" spans="1:7" s="41" customFormat="1" ht="15.75" customHeight="1" x14ac:dyDescent="0.2">
      <c r="A11" s="410"/>
      <c r="B11" s="411"/>
      <c r="C11" s="411"/>
      <c r="D11" s="411"/>
      <c r="E11" s="412"/>
      <c r="F11" s="40"/>
    </row>
    <row r="12" spans="1:7" s="51" customFormat="1" ht="16.5" customHeight="1" x14ac:dyDescent="0.2">
      <c r="A12" s="439" t="s">
        <v>46</v>
      </c>
      <c r="B12" s="440"/>
      <c r="C12" s="440"/>
      <c r="D12" s="76">
        <f>SUM(D13:D13)</f>
        <v>474.82839999999999</v>
      </c>
      <c r="E12" s="48" t="s">
        <v>45</v>
      </c>
      <c r="F12" s="49" t="s">
        <v>42</v>
      </c>
      <c r="G12" s="57"/>
    </row>
    <row r="13" spans="1:7" s="41" customFormat="1" ht="15" customHeight="1" x14ac:dyDescent="0.2">
      <c r="A13" s="106"/>
      <c r="B13" s="413" t="s">
        <v>474</v>
      </c>
      <c r="C13" s="415"/>
      <c r="D13" s="55">
        <f>((21.43*22.93)-((3.94*1.25)+(1.76*3.4)+(0.95*5.95)))</f>
        <v>474.82839999999999</v>
      </c>
      <c r="E13" s="46"/>
      <c r="F13" s="40"/>
      <c r="G13" s="54"/>
    </row>
    <row r="14" spans="1:7" s="41" customFormat="1" ht="15.75" customHeight="1" x14ac:dyDescent="0.2">
      <c r="A14" s="410"/>
      <c r="B14" s="411"/>
      <c r="C14" s="411"/>
      <c r="D14" s="411"/>
      <c r="E14" s="412"/>
      <c r="F14" s="40"/>
    </row>
    <row r="15" spans="1:7" s="51" customFormat="1" ht="16.5" customHeight="1" x14ac:dyDescent="0.2">
      <c r="A15" s="439" t="s">
        <v>47</v>
      </c>
      <c r="B15" s="440"/>
      <c r="C15" s="440"/>
      <c r="D15" s="75">
        <f>SUM(D16:D16)</f>
        <v>66.37</v>
      </c>
      <c r="E15" s="48" t="s">
        <v>41</v>
      </c>
      <c r="F15" s="49" t="s">
        <v>42</v>
      </c>
    </row>
    <row r="16" spans="1:7" s="41" customFormat="1" x14ac:dyDescent="0.2">
      <c r="A16" s="52"/>
      <c r="B16" s="420">
        <v>66.37</v>
      </c>
      <c r="C16" s="421"/>
      <c r="D16" s="53">
        <f>66.37</f>
        <v>66.37</v>
      </c>
      <c r="E16" s="46"/>
      <c r="F16" s="40"/>
      <c r="G16" s="54"/>
    </row>
    <row r="17" spans="1:8" s="41" customFormat="1" ht="15.75" customHeight="1" x14ac:dyDescent="0.2">
      <c r="A17" s="410"/>
      <c r="B17" s="411"/>
      <c r="C17" s="411"/>
      <c r="D17" s="411"/>
      <c r="E17" s="412"/>
      <c r="F17" s="40"/>
    </row>
    <row r="18" spans="1:8" s="51" customFormat="1" ht="16.5" customHeight="1" x14ac:dyDescent="0.2">
      <c r="A18" s="416" t="s">
        <v>48</v>
      </c>
      <c r="B18" s="417"/>
      <c r="C18" s="417"/>
      <c r="D18" s="75">
        <f>SUM(D19:D19)</f>
        <v>339.09199999999998</v>
      </c>
      <c r="E18" s="48" t="s">
        <v>45</v>
      </c>
      <c r="F18" s="49" t="s">
        <v>42</v>
      </c>
    </row>
    <row r="19" spans="1:8" s="41" customFormat="1" ht="15" customHeight="1" x14ac:dyDescent="0.2">
      <c r="A19" s="106"/>
      <c r="B19" s="413" t="s">
        <v>475</v>
      </c>
      <c r="C19" s="415"/>
      <c r="D19" s="58">
        <f>(735.67-474.83)*1.3</f>
        <v>339.09199999999998</v>
      </c>
      <c r="E19" s="59"/>
      <c r="F19" s="40"/>
    </row>
    <row r="20" spans="1:8" s="41" customFormat="1" ht="15.75" customHeight="1" x14ac:dyDescent="0.2">
      <c r="A20" s="410"/>
      <c r="B20" s="411"/>
      <c r="C20" s="411"/>
      <c r="D20" s="411"/>
      <c r="E20" s="412"/>
      <c r="F20" s="40"/>
    </row>
    <row r="21" spans="1:8" s="51" customFormat="1" ht="16.5" customHeight="1" x14ac:dyDescent="0.2">
      <c r="A21" s="439" t="s">
        <v>49</v>
      </c>
      <c r="B21" s="440"/>
      <c r="C21" s="440"/>
      <c r="D21" s="76">
        <f>SUM(D22:D23)</f>
        <v>80.967999999999989</v>
      </c>
      <c r="E21" s="48" t="s">
        <v>41</v>
      </c>
      <c r="F21" s="49" t="s">
        <v>42</v>
      </c>
      <c r="G21" s="111"/>
      <c r="H21" s="110"/>
    </row>
    <row r="22" spans="1:8" s="41" customFormat="1" ht="15" customHeight="1" x14ac:dyDescent="0.2">
      <c r="A22" s="52" t="s">
        <v>87</v>
      </c>
      <c r="B22" s="413" t="s">
        <v>489</v>
      </c>
      <c r="C22" s="414"/>
      <c r="D22" s="53">
        <f>(41.85-0.49-0.49-0.039)</f>
        <v>40.830999999999996</v>
      </c>
      <c r="E22" s="46"/>
      <c r="F22" s="40"/>
      <c r="G22" s="109"/>
      <c r="H22" s="108"/>
    </row>
    <row r="23" spans="1:8" s="41" customFormat="1" ht="15" customHeight="1" x14ac:dyDescent="0.2">
      <c r="A23" s="63" t="s">
        <v>334</v>
      </c>
      <c r="B23" s="413" t="s">
        <v>537</v>
      </c>
      <c r="C23" s="414"/>
      <c r="D23" s="53">
        <f>(4.01*3.35)+(3.37*3.25) + (5.98*1.4)+(1.25*5.28) + (0.6*3*0.28)+(0.5*0.55)</f>
        <v>40.137</v>
      </c>
      <c r="E23" s="46"/>
      <c r="F23" s="40"/>
      <c r="G23" s="109"/>
      <c r="H23" s="108"/>
    </row>
    <row r="24" spans="1:8" s="41" customFormat="1" ht="15.75" customHeight="1" x14ac:dyDescent="0.2">
      <c r="A24" s="410"/>
      <c r="B24" s="411"/>
      <c r="C24" s="411"/>
      <c r="D24" s="411"/>
      <c r="E24" s="412"/>
      <c r="F24" s="40"/>
      <c r="G24" s="54"/>
    </row>
    <row r="25" spans="1:8" s="41" customFormat="1" ht="15.75" customHeight="1" x14ac:dyDescent="0.2">
      <c r="A25" s="439" t="s">
        <v>120</v>
      </c>
      <c r="B25" s="440"/>
      <c r="C25" s="440"/>
      <c r="D25" s="75">
        <f>SUM(D26:D27)</f>
        <v>216.94300000000004</v>
      </c>
      <c r="E25" s="48" t="s">
        <v>41</v>
      </c>
      <c r="F25" s="40" t="s">
        <v>42</v>
      </c>
      <c r="G25" s="54"/>
    </row>
    <row r="26" spans="1:8" s="41" customFormat="1" ht="15.75" customHeight="1" x14ac:dyDescent="0.2">
      <c r="A26" s="52" t="s">
        <v>477</v>
      </c>
      <c r="B26" s="420" t="s">
        <v>481</v>
      </c>
      <c r="C26" s="421"/>
      <c r="D26" s="119">
        <f>(22*4.5) + (0.21*22) + (0.3*1.61)</f>
        <v>104.10300000000001</v>
      </c>
      <c r="E26" s="46"/>
      <c r="F26" s="40"/>
      <c r="G26" s="54"/>
    </row>
    <row r="27" spans="1:8" s="41" customFormat="1" ht="15.75" customHeight="1" x14ac:dyDescent="0.2">
      <c r="A27" s="106" t="s">
        <v>476</v>
      </c>
      <c r="B27" s="413" t="s">
        <v>482</v>
      </c>
      <c r="C27" s="414"/>
      <c r="D27" s="119">
        <f>(22.93*4.9)+(0.3*1.61)</f>
        <v>112.84000000000002</v>
      </c>
      <c r="E27" s="46"/>
      <c r="F27" s="40"/>
      <c r="G27" s="54"/>
    </row>
    <row r="28" spans="1:8" s="41" customFormat="1" ht="15.75" customHeight="1" x14ac:dyDescent="0.2">
      <c r="A28" s="410"/>
      <c r="B28" s="411"/>
      <c r="C28" s="411"/>
      <c r="D28" s="411"/>
      <c r="E28" s="412"/>
      <c r="F28" s="40"/>
      <c r="G28" s="54"/>
    </row>
    <row r="29" spans="1:8" s="41" customFormat="1" ht="15.75" customHeight="1" x14ac:dyDescent="0.2">
      <c r="A29" s="439" t="s">
        <v>212</v>
      </c>
      <c r="B29" s="440"/>
      <c r="C29" s="440"/>
      <c r="D29" s="75">
        <f>SUM(D30:D31)</f>
        <v>2.8506</v>
      </c>
      <c r="E29" s="48" t="s">
        <v>45</v>
      </c>
      <c r="F29" s="40" t="s">
        <v>42</v>
      </c>
    </row>
    <row r="30" spans="1:8" s="51" customFormat="1" ht="16.5" customHeight="1" x14ac:dyDescent="0.2">
      <c r="A30" s="52" t="s">
        <v>334</v>
      </c>
      <c r="B30" s="420" t="s">
        <v>503</v>
      </c>
      <c r="C30" s="421"/>
      <c r="D30" s="53">
        <f>(4.53*0.05) + (1.97*0.05) + (0.0375*2) + (0.267*1)</f>
        <v>0.66700000000000004</v>
      </c>
      <c r="E30" s="46"/>
      <c r="F30" s="49"/>
      <c r="G30" s="50"/>
    </row>
    <row r="31" spans="1:8" s="51" customFormat="1" ht="16.5" customHeight="1" x14ac:dyDescent="0.2">
      <c r="A31" s="52" t="s">
        <v>254</v>
      </c>
      <c r="B31" s="420" t="s">
        <v>485</v>
      </c>
      <c r="C31" s="421"/>
      <c r="D31" s="53">
        <f>(43*0.05) + (0.42*1.6*0.05)</f>
        <v>2.1835999999999998</v>
      </c>
      <c r="E31" s="46"/>
      <c r="F31" s="49"/>
      <c r="G31" s="50"/>
    </row>
    <row r="32" spans="1:8" s="41" customFormat="1" x14ac:dyDescent="0.2">
      <c r="A32" s="410"/>
      <c r="B32" s="411"/>
      <c r="C32" s="411"/>
      <c r="D32" s="411"/>
      <c r="E32" s="412"/>
      <c r="F32" s="40"/>
      <c r="G32" s="54"/>
    </row>
    <row r="33" spans="1:7" s="41" customFormat="1" ht="15.75" customHeight="1" x14ac:dyDescent="0.2">
      <c r="A33" s="439" t="s">
        <v>149</v>
      </c>
      <c r="B33" s="440"/>
      <c r="C33" s="440"/>
      <c r="D33" s="75">
        <f>SUM(D34:D36)</f>
        <v>30.20608</v>
      </c>
      <c r="E33" s="48" t="s">
        <v>45</v>
      </c>
      <c r="F33" s="40" t="s">
        <v>42</v>
      </c>
    </row>
    <row r="34" spans="1:7" s="41" customFormat="1" x14ac:dyDescent="0.2">
      <c r="A34" s="52" t="s">
        <v>87</v>
      </c>
      <c r="B34" s="420" t="s">
        <v>488</v>
      </c>
      <c r="C34" s="421"/>
      <c r="D34" s="53">
        <f>(38.48*0.15)+((38.48*0.1)-((0.49*2*0.1)+(0.039*0.1))) + (0.06*1.6)</f>
        <v>9.6140999999999988</v>
      </c>
      <c r="E34" s="46"/>
      <c r="F34" s="40"/>
      <c r="G34" s="54"/>
    </row>
    <row r="35" spans="1:7" s="41" customFormat="1" x14ac:dyDescent="0.2">
      <c r="A35" s="106" t="s">
        <v>478</v>
      </c>
      <c r="B35" s="413" t="s">
        <v>483</v>
      </c>
      <c r="C35" s="414"/>
      <c r="D35" s="53">
        <f>(3.37*4.9)+(0.01*22)+(0.3*0.25)</f>
        <v>16.808</v>
      </c>
      <c r="E35" s="46"/>
      <c r="F35" s="40"/>
      <c r="G35" s="54"/>
    </row>
    <row r="36" spans="1:7" s="41" customFormat="1" ht="15" customHeight="1" x14ac:dyDescent="0.2">
      <c r="A36" s="52" t="s">
        <v>334</v>
      </c>
      <c r="B36" s="413" t="s">
        <v>536</v>
      </c>
      <c r="C36" s="415"/>
      <c r="D36" s="53">
        <f>(0.84*1.4) + (0.15*3.28) + (3.4*0.56) + (0.15*1.18) + (0.022*0.28*3) + (0.03*0.55)</f>
        <v>3.7839800000000001</v>
      </c>
      <c r="E36" s="46"/>
      <c r="F36" s="40"/>
      <c r="G36" s="54"/>
    </row>
    <row r="37" spans="1:7" s="41" customFormat="1" ht="15.75" customHeight="1" x14ac:dyDescent="0.2">
      <c r="A37" s="410"/>
      <c r="B37" s="411"/>
      <c r="C37" s="411"/>
      <c r="D37" s="411"/>
      <c r="E37" s="412"/>
      <c r="F37" s="40"/>
      <c r="G37" s="54"/>
    </row>
    <row r="38" spans="1:7" s="41" customFormat="1" ht="15.75" customHeight="1" x14ac:dyDescent="0.2">
      <c r="A38" s="416" t="s">
        <v>745</v>
      </c>
      <c r="B38" s="417"/>
      <c r="C38" s="417"/>
      <c r="D38" s="76">
        <f>SUM(D39:D40)</f>
        <v>3646.2999999999997</v>
      </c>
      <c r="E38" s="48" t="s">
        <v>51</v>
      </c>
      <c r="F38" s="40" t="s">
        <v>42</v>
      </c>
    </row>
    <row r="39" spans="1:7" s="51" customFormat="1" ht="16.5" customHeight="1" x14ac:dyDescent="0.2">
      <c r="A39" s="52" t="s">
        <v>254</v>
      </c>
      <c r="B39" s="413" t="s">
        <v>874</v>
      </c>
      <c r="C39" s="415"/>
      <c r="D39" s="61">
        <f>3360.41+44.6+6.32</f>
        <v>3411.33</v>
      </c>
      <c r="E39" s="59"/>
      <c r="F39" s="49"/>
      <c r="G39" s="62"/>
    </row>
    <row r="40" spans="1:7" s="41" customFormat="1" ht="15.75" customHeight="1" x14ac:dyDescent="0.2">
      <c r="A40" s="52" t="s">
        <v>334</v>
      </c>
      <c r="B40" s="413" t="s">
        <v>844</v>
      </c>
      <c r="C40" s="415"/>
      <c r="D40" s="61">
        <f>111.84+123.13</f>
        <v>234.97</v>
      </c>
      <c r="E40" s="165"/>
      <c r="F40" s="40"/>
    </row>
    <row r="41" spans="1:7" s="41" customFormat="1" ht="15.75" customHeight="1" x14ac:dyDescent="0.2">
      <c r="A41" s="410"/>
      <c r="B41" s="411"/>
      <c r="C41" s="411"/>
      <c r="D41" s="411"/>
      <c r="E41" s="412"/>
      <c r="F41" s="40"/>
    </row>
    <row r="42" spans="1:7" s="41" customFormat="1" x14ac:dyDescent="0.2">
      <c r="A42" s="422" t="s">
        <v>52</v>
      </c>
      <c r="B42" s="423"/>
      <c r="C42" s="423"/>
      <c r="D42" s="75">
        <f>SUM(D43:D43)</f>
        <v>174.19364999999996</v>
      </c>
      <c r="E42" s="48" t="s">
        <v>45</v>
      </c>
      <c r="F42" s="40" t="s">
        <v>42</v>
      </c>
    </row>
    <row r="43" spans="1:7" s="51" customFormat="1" ht="16.5" customHeight="1" x14ac:dyDescent="0.2">
      <c r="A43" s="63" t="s">
        <v>87</v>
      </c>
      <c r="B43" s="413" t="s">
        <v>487</v>
      </c>
      <c r="C43" s="415"/>
      <c r="D43" s="65">
        <f>((38.48-0.49-0.49-0.039)*4.65)</f>
        <v>174.19364999999996</v>
      </c>
      <c r="E43" s="64"/>
      <c r="F43" s="49"/>
    </row>
    <row r="44" spans="1:7" s="41" customFormat="1" ht="15.75" customHeight="1" x14ac:dyDescent="0.2">
      <c r="A44" s="410"/>
      <c r="B44" s="411"/>
      <c r="C44" s="411"/>
      <c r="D44" s="411"/>
      <c r="E44" s="412"/>
      <c r="F44" s="40"/>
      <c r="G44" s="54"/>
    </row>
    <row r="45" spans="1:7" s="41" customFormat="1" x14ac:dyDescent="0.2">
      <c r="A45" s="418" t="s">
        <v>53</v>
      </c>
      <c r="B45" s="419"/>
      <c r="C45" s="419"/>
      <c r="D45" s="75">
        <f>SUM(D46:D49)</f>
        <v>382.04700000000003</v>
      </c>
      <c r="E45" s="66" t="s">
        <v>41</v>
      </c>
      <c r="F45" s="40" t="s">
        <v>42</v>
      </c>
    </row>
    <row r="46" spans="1:7" s="51" customFormat="1" ht="15" customHeight="1" x14ac:dyDescent="0.2">
      <c r="A46" s="52" t="s">
        <v>87</v>
      </c>
      <c r="B46" s="420" t="s">
        <v>490</v>
      </c>
      <c r="C46" s="421"/>
      <c r="D46" s="53">
        <f>(38.48-0.49-0.49-0.039)+((38.48+(0.42*1.6))*2)</f>
        <v>115.76499999999999</v>
      </c>
      <c r="E46" s="46"/>
      <c r="F46" s="49"/>
    </row>
    <row r="47" spans="1:7" s="41" customFormat="1" ht="15.75" customHeight="1" x14ac:dyDescent="0.2">
      <c r="A47" s="106" t="s">
        <v>477</v>
      </c>
      <c r="B47" s="420" t="s">
        <v>480</v>
      </c>
      <c r="C47" s="421"/>
      <c r="D47" s="53">
        <f>(22*4.65)+(0.3*1.61)</f>
        <v>102.78300000000002</v>
      </c>
      <c r="E47" s="46"/>
      <c r="F47" s="40"/>
      <c r="G47" s="54"/>
    </row>
    <row r="48" spans="1:7" s="41" customFormat="1" ht="15.75" customHeight="1" x14ac:dyDescent="0.2">
      <c r="A48" s="52" t="s">
        <v>479</v>
      </c>
      <c r="B48" s="420" t="s">
        <v>482</v>
      </c>
      <c r="C48" s="431"/>
      <c r="D48" s="53">
        <f>(22.93*4.9)+(0.3*1.61)</f>
        <v>112.84000000000002</v>
      </c>
      <c r="E48" s="46"/>
      <c r="F48" s="40"/>
      <c r="G48" s="54"/>
    </row>
    <row r="49" spans="1:7" s="41" customFormat="1" ht="27.75" customHeight="1" x14ac:dyDescent="0.2">
      <c r="A49" s="63" t="s">
        <v>334</v>
      </c>
      <c r="B49" s="413" t="s">
        <v>535</v>
      </c>
      <c r="C49" s="414"/>
      <c r="D49" s="53">
        <f>(5.28*1.25) + (5.97*1.4) + (4.22+3.28) + (3.37*3.25) + (4.01*3.35) + (1.76+1.18) + (0.6*3*0.28)+(0.5*0.55) + (0.022*3) + (0.03)</f>
        <v>50.658999999999999</v>
      </c>
      <c r="E49" s="46"/>
      <c r="F49" s="40"/>
      <c r="G49" s="54"/>
    </row>
    <row r="50" spans="1:7" s="41" customFormat="1" ht="15.75" customHeight="1" x14ac:dyDescent="0.2">
      <c r="A50" s="410"/>
      <c r="B50" s="411"/>
      <c r="C50" s="411"/>
      <c r="D50" s="411"/>
      <c r="E50" s="412"/>
      <c r="F50" s="40"/>
      <c r="G50" s="54"/>
    </row>
    <row r="51" spans="1:7" s="41" customFormat="1" x14ac:dyDescent="0.2">
      <c r="A51" s="418" t="s">
        <v>54</v>
      </c>
      <c r="B51" s="419"/>
      <c r="C51" s="419"/>
      <c r="D51" s="76">
        <f>SUM(D52:D52)*1.04</f>
        <v>2.3847200000000002</v>
      </c>
      <c r="E51" s="48" t="s">
        <v>41</v>
      </c>
      <c r="F51" s="40" t="s">
        <v>42</v>
      </c>
    </row>
    <row r="52" spans="1:7" s="51" customFormat="1" ht="15" customHeight="1" x14ac:dyDescent="0.2">
      <c r="A52" s="63" t="s">
        <v>492</v>
      </c>
      <c r="B52" s="413" t="s">
        <v>496</v>
      </c>
      <c r="C52" s="415"/>
      <c r="D52" s="67">
        <f>(0.1*22.93)</f>
        <v>2.2930000000000001</v>
      </c>
      <c r="E52" s="64"/>
      <c r="F52" s="49"/>
    </row>
    <row r="53" spans="1:7" s="41" customFormat="1" x14ac:dyDescent="0.2">
      <c r="A53" s="410"/>
      <c r="B53" s="411"/>
      <c r="C53" s="411"/>
      <c r="D53" s="411"/>
      <c r="E53" s="412"/>
      <c r="F53" s="40"/>
      <c r="G53" s="54"/>
    </row>
    <row r="54" spans="1:7" x14ac:dyDescent="0.25">
      <c r="A54" s="416" t="s">
        <v>430</v>
      </c>
      <c r="B54" s="426"/>
      <c r="C54" s="426"/>
      <c r="D54" s="68">
        <f>SUM(D55:D56)</f>
        <v>37.746599999999994</v>
      </c>
      <c r="E54" s="48" t="s">
        <v>45</v>
      </c>
      <c r="F54" s="37" t="s">
        <v>42</v>
      </c>
    </row>
    <row r="55" spans="1:7" ht="24" x14ac:dyDescent="0.25">
      <c r="A55" s="106" t="s">
        <v>484</v>
      </c>
      <c r="B55" s="424" t="s">
        <v>497</v>
      </c>
      <c r="C55" s="427"/>
      <c r="D55" s="58">
        <f>(43*0.15) + (14.89*0.3) + (0.02*4.49*9) + (0.02*3.54*2) + (0.02*1.09)</f>
        <v>11.8886</v>
      </c>
      <c r="E55" s="59"/>
    </row>
    <row r="56" spans="1:7" x14ac:dyDescent="0.25">
      <c r="A56" s="104" t="s">
        <v>486</v>
      </c>
      <c r="B56" s="424" t="s">
        <v>491</v>
      </c>
      <c r="C56" s="425"/>
      <c r="D56" s="118">
        <f>((38.48-0.49-0.49-0.56)*0.7)</f>
        <v>25.857999999999993</v>
      </c>
      <c r="E56" s="59"/>
    </row>
    <row r="57" spans="1:7" x14ac:dyDescent="0.25">
      <c r="A57" s="428"/>
      <c r="B57" s="429"/>
      <c r="C57" s="429"/>
      <c r="D57" s="429"/>
      <c r="E57" s="430"/>
    </row>
    <row r="58" spans="1:7" x14ac:dyDescent="0.25">
      <c r="A58" s="416" t="s">
        <v>101</v>
      </c>
      <c r="B58" s="426"/>
      <c r="C58" s="426"/>
      <c r="D58" s="68">
        <f>SUM(D59:D59)</f>
        <v>94.382999999999996</v>
      </c>
      <c r="E58" s="48" t="s">
        <v>41</v>
      </c>
      <c r="F58" s="37" t="s">
        <v>42</v>
      </c>
    </row>
    <row r="59" spans="1:7" ht="24" x14ac:dyDescent="0.25">
      <c r="A59" s="166" t="s">
        <v>484</v>
      </c>
      <c r="B59" s="424" t="s">
        <v>498</v>
      </c>
      <c r="C59" s="427"/>
      <c r="D59" s="58">
        <f>(0.45*4.49*9) + (0.45*3.54*2) + (0.45*1.09) + 41.85 + (0.45*((5.25+10.15+8.9+7.04+2.74)*2))</f>
        <v>94.382999999999996</v>
      </c>
      <c r="E59" s="59"/>
    </row>
    <row r="60" spans="1:7" x14ac:dyDescent="0.25">
      <c r="A60" s="428"/>
      <c r="B60" s="429"/>
      <c r="C60" s="429"/>
      <c r="D60" s="429"/>
      <c r="E60" s="430"/>
    </row>
    <row r="61" spans="1:7" x14ac:dyDescent="0.25">
      <c r="A61" s="416" t="s">
        <v>261</v>
      </c>
      <c r="B61" s="426"/>
      <c r="C61" s="426"/>
      <c r="D61" s="68">
        <f>SUM(D62:D62)</f>
        <v>7.1099999999999994</v>
      </c>
      <c r="E61" s="48" t="s">
        <v>55</v>
      </c>
      <c r="F61" s="37" t="s">
        <v>42</v>
      </c>
    </row>
    <row r="62" spans="1:7" x14ac:dyDescent="0.25">
      <c r="A62" s="52" t="s">
        <v>334</v>
      </c>
      <c r="B62" s="424" t="s">
        <v>495</v>
      </c>
      <c r="C62" s="427"/>
      <c r="D62" s="58">
        <f>(1.35*2) + (1.53*2)+1.35</f>
        <v>7.1099999999999994</v>
      </c>
      <c r="E62" s="59"/>
    </row>
    <row r="63" spans="1:7" x14ac:dyDescent="0.25">
      <c r="A63" s="428"/>
      <c r="B63" s="429"/>
      <c r="C63" s="429"/>
      <c r="D63" s="429"/>
      <c r="E63" s="430"/>
    </row>
    <row r="64" spans="1:7" x14ac:dyDescent="0.25">
      <c r="A64" s="416" t="s">
        <v>867</v>
      </c>
      <c r="B64" s="426"/>
      <c r="C64" s="426"/>
      <c r="D64" s="68">
        <f>SUM(D65:D66)</f>
        <v>10.81</v>
      </c>
      <c r="E64" s="48" t="s">
        <v>55</v>
      </c>
      <c r="F64" s="37" t="s">
        <v>42</v>
      </c>
    </row>
    <row r="65" spans="1:6" ht="15" customHeight="1" x14ac:dyDescent="0.25">
      <c r="A65" s="52" t="s">
        <v>334</v>
      </c>
      <c r="B65" s="413" t="s">
        <v>494</v>
      </c>
      <c r="C65" s="415"/>
      <c r="D65" s="58">
        <f>(1.08+2.53)</f>
        <v>3.61</v>
      </c>
      <c r="E65" s="59"/>
    </row>
    <row r="66" spans="1:6" ht="15" customHeight="1" x14ac:dyDescent="0.25">
      <c r="A66" s="104" t="s">
        <v>254</v>
      </c>
      <c r="B66" s="413" t="s">
        <v>502</v>
      </c>
      <c r="C66" s="415"/>
      <c r="D66" s="135">
        <f>(2.7+2.7+1.8)</f>
        <v>7.2</v>
      </c>
      <c r="E66" s="59"/>
    </row>
    <row r="67" spans="1:6" x14ac:dyDescent="0.25">
      <c r="A67" s="428"/>
      <c r="B67" s="429"/>
      <c r="C67" s="429"/>
      <c r="D67" s="429"/>
      <c r="E67" s="430"/>
    </row>
    <row r="68" spans="1:6" x14ac:dyDescent="0.25">
      <c r="A68" s="416" t="s">
        <v>460</v>
      </c>
      <c r="B68" s="426"/>
      <c r="C68" s="426"/>
      <c r="D68" s="68">
        <f>SUM(D69:D69)</f>
        <v>18.53</v>
      </c>
      <c r="E68" s="48" t="s">
        <v>41</v>
      </c>
      <c r="F68" s="37" t="s">
        <v>42</v>
      </c>
    </row>
    <row r="69" spans="1:6" x14ac:dyDescent="0.25">
      <c r="A69" s="69"/>
      <c r="B69" s="424" t="s">
        <v>493</v>
      </c>
      <c r="C69" s="427"/>
      <c r="D69" s="58">
        <f>(66.36-(41.85+4.22+1.76))</f>
        <v>18.53</v>
      </c>
      <c r="E69" s="59"/>
    </row>
    <row r="70" spans="1:6" x14ac:dyDescent="0.25">
      <c r="A70" s="428"/>
      <c r="B70" s="429"/>
      <c r="C70" s="429"/>
      <c r="D70" s="429"/>
      <c r="E70" s="430"/>
    </row>
  </sheetData>
  <mergeCells count="71">
    <mergeCell ref="A68:C68"/>
    <mergeCell ref="B69:C69"/>
    <mergeCell ref="A70:E70"/>
    <mergeCell ref="A64:C64"/>
    <mergeCell ref="B65:C65"/>
    <mergeCell ref="A67:E67"/>
    <mergeCell ref="A63:E63"/>
    <mergeCell ref="A54:C54"/>
    <mergeCell ref="B55:C55"/>
    <mergeCell ref="B56:C56"/>
    <mergeCell ref="A57:E57"/>
    <mergeCell ref="A58:C58"/>
    <mergeCell ref="B59:C59"/>
    <mergeCell ref="A60:E60"/>
    <mergeCell ref="A61:C61"/>
    <mergeCell ref="B62:C62"/>
    <mergeCell ref="A51:C51"/>
    <mergeCell ref="B52:C52"/>
    <mergeCell ref="A53:E53"/>
    <mergeCell ref="A50:E50"/>
    <mergeCell ref="A45:C45"/>
    <mergeCell ref="B46:C46"/>
    <mergeCell ref="B47:C47"/>
    <mergeCell ref="B48:C48"/>
    <mergeCell ref="B49:C49"/>
    <mergeCell ref="A41:E41"/>
    <mergeCell ref="A42:C42"/>
    <mergeCell ref="B43:C43"/>
    <mergeCell ref="A44:E44"/>
    <mergeCell ref="B40:C40"/>
    <mergeCell ref="A37:E37"/>
    <mergeCell ref="A38:C38"/>
    <mergeCell ref="B39:C39"/>
    <mergeCell ref="B36:C36"/>
    <mergeCell ref="B31:C31"/>
    <mergeCell ref="A32:E32"/>
    <mergeCell ref="A33:C33"/>
    <mergeCell ref="B34:C34"/>
    <mergeCell ref="B35:C35"/>
    <mergeCell ref="B30:C30"/>
    <mergeCell ref="A24:E24"/>
    <mergeCell ref="A20:E20"/>
    <mergeCell ref="A21:C21"/>
    <mergeCell ref="B22:C22"/>
    <mergeCell ref="B23:C23"/>
    <mergeCell ref="A25:C25"/>
    <mergeCell ref="B26:C26"/>
    <mergeCell ref="B27:C27"/>
    <mergeCell ref="A28:E28"/>
    <mergeCell ref="A29:C29"/>
    <mergeCell ref="A14:E14"/>
    <mergeCell ref="A15:C15"/>
    <mergeCell ref="B16:C16"/>
    <mergeCell ref="A17:E17"/>
    <mergeCell ref="A18:C18"/>
    <mergeCell ref="A5:C5"/>
    <mergeCell ref="B66:C66"/>
    <mergeCell ref="D1:E1"/>
    <mergeCell ref="A2:B2"/>
    <mergeCell ref="D2:E2"/>
    <mergeCell ref="A3:E3"/>
    <mergeCell ref="A4:C4"/>
    <mergeCell ref="B19:C19"/>
    <mergeCell ref="B13:C13"/>
    <mergeCell ref="A11:E11"/>
    <mergeCell ref="A12:C12"/>
    <mergeCell ref="A6:C6"/>
    <mergeCell ref="B7:C7"/>
    <mergeCell ref="A8:E8"/>
    <mergeCell ref="A9:C9"/>
    <mergeCell ref="B10:C10"/>
  </mergeCells>
  <printOptions horizontalCentered="1"/>
  <pageMargins left="0.98425196850393704" right="0.98425196850393704" top="0.98425196850393704" bottom="0.98425196850393704" header="0.31496062992125984" footer="0.31496062992125984"/>
  <pageSetup paperSize="9" scale="75" orientation="portrait" verticalDpi="200" r:id="rId1"/>
  <headerFooter>
    <oddHeader>&amp;L&amp;G&amp;R&amp;G</oddHead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0AC464-5482-4F7C-9335-C65FD98B8B04}">
  <sheetPr codeName="Planilha22"/>
  <dimension ref="A1:K79"/>
  <sheetViews>
    <sheetView view="pageBreakPreview" zoomScaleNormal="100" zoomScaleSheetLayoutView="100" workbookViewId="0"/>
  </sheetViews>
  <sheetFormatPr defaultRowHeight="12.75" x14ac:dyDescent="0.2"/>
  <cols>
    <col min="1" max="1" width="7.7109375" style="79" customWidth="1"/>
    <col min="2" max="3" width="14.7109375" style="79" customWidth="1"/>
    <col min="4" max="4" width="8.140625" style="79" bestFit="1" customWidth="1"/>
    <col min="5" max="6" width="9.140625" style="79"/>
    <col min="7" max="7" width="7.85546875" style="79" bestFit="1" customWidth="1"/>
    <col min="8" max="8" width="9.7109375" style="79" customWidth="1"/>
    <col min="9" max="9" width="15.7109375" style="79" customWidth="1"/>
    <col min="10" max="10" width="9.140625" style="287"/>
    <col min="11" max="150" width="9.140625" style="79"/>
    <col min="151" max="151" width="7.7109375" style="79" customWidth="1"/>
    <col min="152" max="152" width="12.85546875" style="79" customWidth="1"/>
    <col min="153" max="153" width="7.85546875" style="79" customWidth="1"/>
    <col min="154" max="154" width="7.85546875" style="79" bestFit="1" customWidth="1"/>
    <col min="155" max="156" width="9.140625" style="79"/>
    <col min="157" max="157" width="7.85546875" style="79" bestFit="1" customWidth="1"/>
    <col min="158" max="158" width="9.7109375" style="79" customWidth="1"/>
    <col min="159" max="159" width="10.42578125" style="79" customWidth="1"/>
    <col min="160" max="406" width="9.140625" style="79"/>
    <col min="407" max="407" width="7.7109375" style="79" customWidth="1"/>
    <col min="408" max="408" width="12.85546875" style="79" customWidth="1"/>
    <col min="409" max="409" width="7.85546875" style="79" customWidth="1"/>
    <col min="410" max="410" width="7.85546875" style="79" bestFit="1" customWidth="1"/>
    <col min="411" max="412" width="9.140625" style="79"/>
    <col min="413" max="413" width="7.85546875" style="79" bestFit="1" customWidth="1"/>
    <col min="414" max="414" width="9.7109375" style="79" customWidth="1"/>
    <col min="415" max="415" width="10.42578125" style="79" customWidth="1"/>
    <col min="416" max="662" width="9.140625" style="79"/>
    <col min="663" max="663" width="7.7109375" style="79" customWidth="1"/>
    <col min="664" max="664" width="12.85546875" style="79" customWidth="1"/>
    <col min="665" max="665" width="7.85546875" style="79" customWidth="1"/>
    <col min="666" max="666" width="7.85546875" style="79" bestFit="1" customWidth="1"/>
    <col min="667" max="668" width="9.140625" style="79"/>
    <col min="669" max="669" width="7.85546875" style="79" bestFit="1" customWidth="1"/>
    <col min="670" max="670" width="9.7109375" style="79" customWidth="1"/>
    <col min="671" max="671" width="10.42578125" style="79" customWidth="1"/>
    <col min="672" max="918" width="9.140625" style="79"/>
    <col min="919" max="919" width="7.7109375" style="79" customWidth="1"/>
    <col min="920" max="920" width="12.85546875" style="79" customWidth="1"/>
    <col min="921" max="921" width="7.85546875" style="79" customWidth="1"/>
    <col min="922" max="922" width="7.85546875" style="79" bestFit="1" customWidth="1"/>
    <col min="923" max="924" width="9.140625" style="79"/>
    <col min="925" max="925" width="7.85546875" style="79" bestFit="1" customWidth="1"/>
    <col min="926" max="926" width="9.7109375" style="79" customWidth="1"/>
    <col min="927" max="927" width="10.42578125" style="79" customWidth="1"/>
    <col min="928" max="1174" width="9.140625" style="79"/>
    <col min="1175" max="1175" width="7.7109375" style="79" customWidth="1"/>
    <col min="1176" max="1176" width="12.85546875" style="79" customWidth="1"/>
    <col min="1177" max="1177" width="7.85546875" style="79" customWidth="1"/>
    <col min="1178" max="1178" width="7.85546875" style="79" bestFit="1" customWidth="1"/>
    <col min="1179" max="1180" width="9.140625" style="79"/>
    <col min="1181" max="1181" width="7.85546875" style="79" bestFit="1" customWidth="1"/>
    <col min="1182" max="1182" width="9.7109375" style="79" customWidth="1"/>
    <col min="1183" max="1183" width="10.42578125" style="79" customWidth="1"/>
    <col min="1184" max="1430" width="9.140625" style="79"/>
    <col min="1431" max="1431" width="7.7109375" style="79" customWidth="1"/>
    <col min="1432" max="1432" width="12.85546875" style="79" customWidth="1"/>
    <col min="1433" max="1433" width="7.85546875" style="79" customWidth="1"/>
    <col min="1434" max="1434" width="7.85546875" style="79" bestFit="1" customWidth="1"/>
    <col min="1435" max="1436" width="9.140625" style="79"/>
    <col min="1437" max="1437" width="7.85546875" style="79" bestFit="1" customWidth="1"/>
    <col min="1438" max="1438" width="9.7109375" style="79" customWidth="1"/>
    <col min="1439" max="1439" width="10.42578125" style="79" customWidth="1"/>
    <col min="1440" max="1686" width="9.140625" style="79"/>
    <col min="1687" max="1687" width="7.7109375" style="79" customWidth="1"/>
    <col min="1688" max="1688" width="12.85546875" style="79" customWidth="1"/>
    <col min="1689" max="1689" width="7.85546875" style="79" customWidth="1"/>
    <col min="1690" max="1690" width="7.85546875" style="79" bestFit="1" customWidth="1"/>
    <col min="1691" max="1692" width="9.140625" style="79"/>
    <col min="1693" max="1693" width="7.85546875" style="79" bestFit="1" customWidth="1"/>
    <col min="1694" max="1694" width="9.7109375" style="79" customWidth="1"/>
    <col min="1695" max="1695" width="10.42578125" style="79" customWidth="1"/>
    <col min="1696" max="1942" width="9.140625" style="79"/>
    <col min="1943" max="1943" width="7.7109375" style="79" customWidth="1"/>
    <col min="1944" max="1944" width="12.85546875" style="79" customWidth="1"/>
    <col min="1945" max="1945" width="7.85546875" style="79" customWidth="1"/>
    <col min="1946" max="1946" width="7.85546875" style="79" bestFit="1" customWidth="1"/>
    <col min="1947" max="1948" width="9.140625" style="79"/>
    <col min="1949" max="1949" width="7.85546875" style="79" bestFit="1" customWidth="1"/>
    <col min="1950" max="1950" width="9.7109375" style="79" customWidth="1"/>
    <col min="1951" max="1951" width="10.42578125" style="79" customWidth="1"/>
    <col min="1952" max="2198" width="9.140625" style="79"/>
    <col min="2199" max="2199" width="7.7109375" style="79" customWidth="1"/>
    <col min="2200" max="2200" width="12.85546875" style="79" customWidth="1"/>
    <col min="2201" max="2201" width="7.85546875" style="79" customWidth="1"/>
    <col min="2202" max="2202" width="7.85546875" style="79" bestFit="1" customWidth="1"/>
    <col min="2203" max="2204" width="9.140625" style="79"/>
    <col min="2205" max="2205" width="7.85546875" style="79" bestFit="1" customWidth="1"/>
    <col min="2206" max="2206" width="9.7109375" style="79" customWidth="1"/>
    <col min="2207" max="2207" width="10.42578125" style="79" customWidth="1"/>
    <col min="2208" max="2454" width="9.140625" style="79"/>
    <col min="2455" max="2455" width="7.7109375" style="79" customWidth="1"/>
    <col min="2456" max="2456" width="12.85546875" style="79" customWidth="1"/>
    <col min="2457" max="2457" width="7.85546875" style="79" customWidth="1"/>
    <col min="2458" max="2458" width="7.85546875" style="79" bestFit="1" customWidth="1"/>
    <col min="2459" max="2460" width="9.140625" style="79"/>
    <col min="2461" max="2461" width="7.85546875" style="79" bestFit="1" customWidth="1"/>
    <col min="2462" max="2462" width="9.7109375" style="79" customWidth="1"/>
    <col min="2463" max="2463" width="10.42578125" style="79" customWidth="1"/>
    <col min="2464" max="2710" width="9.140625" style="79"/>
    <col min="2711" max="2711" width="7.7109375" style="79" customWidth="1"/>
    <col min="2712" max="2712" width="12.85546875" style="79" customWidth="1"/>
    <col min="2713" max="2713" width="7.85546875" style="79" customWidth="1"/>
    <col min="2714" max="2714" width="7.85546875" style="79" bestFit="1" customWidth="1"/>
    <col min="2715" max="2716" width="9.140625" style="79"/>
    <col min="2717" max="2717" width="7.85546875" style="79" bestFit="1" customWidth="1"/>
    <col min="2718" max="2718" width="9.7109375" style="79" customWidth="1"/>
    <col min="2719" max="2719" width="10.42578125" style="79" customWidth="1"/>
    <col min="2720" max="2966" width="9.140625" style="79"/>
    <col min="2967" max="2967" width="7.7109375" style="79" customWidth="1"/>
    <col min="2968" max="2968" width="12.85546875" style="79" customWidth="1"/>
    <col min="2969" max="2969" width="7.85546875" style="79" customWidth="1"/>
    <col min="2970" max="2970" width="7.85546875" style="79" bestFit="1" customWidth="1"/>
    <col min="2971" max="2972" width="9.140625" style="79"/>
    <col min="2973" max="2973" width="7.85546875" style="79" bestFit="1" customWidth="1"/>
    <col min="2974" max="2974" width="9.7109375" style="79" customWidth="1"/>
    <col min="2975" max="2975" width="10.42578125" style="79" customWidth="1"/>
    <col min="2976" max="3222" width="9.140625" style="79"/>
    <col min="3223" max="3223" width="7.7109375" style="79" customWidth="1"/>
    <col min="3224" max="3224" width="12.85546875" style="79" customWidth="1"/>
    <col min="3225" max="3225" width="7.85546875" style="79" customWidth="1"/>
    <col min="3226" max="3226" width="7.85546875" style="79" bestFit="1" customWidth="1"/>
    <col min="3227" max="3228" width="9.140625" style="79"/>
    <col min="3229" max="3229" width="7.85546875" style="79" bestFit="1" customWidth="1"/>
    <col min="3230" max="3230" width="9.7109375" style="79" customWidth="1"/>
    <col min="3231" max="3231" width="10.42578125" style="79" customWidth="1"/>
    <col min="3232" max="3478" width="9.140625" style="79"/>
    <col min="3479" max="3479" width="7.7109375" style="79" customWidth="1"/>
    <col min="3480" max="3480" width="12.85546875" style="79" customWidth="1"/>
    <col min="3481" max="3481" width="7.85546875" style="79" customWidth="1"/>
    <col min="3482" max="3482" width="7.85546875" style="79" bestFit="1" customWidth="1"/>
    <col min="3483" max="3484" width="9.140625" style="79"/>
    <col min="3485" max="3485" width="7.85546875" style="79" bestFit="1" customWidth="1"/>
    <col min="3486" max="3486" width="9.7109375" style="79" customWidth="1"/>
    <col min="3487" max="3487" width="10.42578125" style="79" customWidth="1"/>
    <col min="3488" max="3734" width="9.140625" style="79"/>
    <col min="3735" max="3735" width="7.7109375" style="79" customWidth="1"/>
    <col min="3736" max="3736" width="12.85546875" style="79" customWidth="1"/>
    <col min="3737" max="3737" width="7.85546875" style="79" customWidth="1"/>
    <col min="3738" max="3738" width="7.85546875" style="79" bestFit="1" customWidth="1"/>
    <col min="3739" max="3740" width="9.140625" style="79"/>
    <col min="3741" max="3741" width="7.85546875" style="79" bestFit="1" customWidth="1"/>
    <col min="3742" max="3742" width="9.7109375" style="79" customWidth="1"/>
    <col min="3743" max="3743" width="10.42578125" style="79" customWidth="1"/>
    <col min="3744" max="3990" width="9.140625" style="79"/>
    <col min="3991" max="3991" width="7.7109375" style="79" customWidth="1"/>
    <col min="3992" max="3992" width="12.85546875" style="79" customWidth="1"/>
    <col min="3993" max="3993" width="7.85546875" style="79" customWidth="1"/>
    <col min="3994" max="3994" width="7.85546875" style="79" bestFit="1" customWidth="1"/>
    <col min="3995" max="3996" width="9.140625" style="79"/>
    <col min="3997" max="3997" width="7.85546875" style="79" bestFit="1" customWidth="1"/>
    <col min="3998" max="3998" width="9.7109375" style="79" customWidth="1"/>
    <col min="3999" max="3999" width="10.42578125" style="79" customWidth="1"/>
    <col min="4000" max="4246" width="9.140625" style="79"/>
    <col min="4247" max="4247" width="7.7109375" style="79" customWidth="1"/>
    <col min="4248" max="4248" width="12.85546875" style="79" customWidth="1"/>
    <col min="4249" max="4249" width="7.85546875" style="79" customWidth="1"/>
    <col min="4250" max="4250" width="7.85546875" style="79" bestFit="1" customWidth="1"/>
    <col min="4251" max="4252" width="9.140625" style="79"/>
    <col min="4253" max="4253" width="7.85546875" style="79" bestFit="1" customWidth="1"/>
    <col min="4254" max="4254" width="9.7109375" style="79" customWidth="1"/>
    <col min="4255" max="4255" width="10.42578125" style="79" customWidth="1"/>
    <col min="4256" max="4502" width="9.140625" style="79"/>
    <col min="4503" max="4503" width="7.7109375" style="79" customWidth="1"/>
    <col min="4504" max="4504" width="12.85546875" style="79" customWidth="1"/>
    <col min="4505" max="4505" width="7.85546875" style="79" customWidth="1"/>
    <col min="4506" max="4506" width="7.85546875" style="79" bestFit="1" customWidth="1"/>
    <col min="4507" max="4508" width="9.140625" style="79"/>
    <col min="4509" max="4509" width="7.85546875" style="79" bestFit="1" customWidth="1"/>
    <col min="4510" max="4510" width="9.7109375" style="79" customWidth="1"/>
    <col min="4511" max="4511" width="10.42578125" style="79" customWidth="1"/>
    <col min="4512" max="4758" width="9.140625" style="79"/>
    <col min="4759" max="4759" width="7.7109375" style="79" customWidth="1"/>
    <col min="4760" max="4760" width="12.85546875" style="79" customWidth="1"/>
    <col min="4761" max="4761" width="7.85546875" style="79" customWidth="1"/>
    <col min="4762" max="4762" width="7.85546875" style="79" bestFit="1" customWidth="1"/>
    <col min="4763" max="4764" width="9.140625" style="79"/>
    <col min="4765" max="4765" width="7.85546875" style="79" bestFit="1" customWidth="1"/>
    <col min="4766" max="4766" width="9.7109375" style="79" customWidth="1"/>
    <col min="4767" max="4767" width="10.42578125" style="79" customWidth="1"/>
    <col min="4768" max="5014" width="9.140625" style="79"/>
    <col min="5015" max="5015" width="7.7109375" style="79" customWidth="1"/>
    <col min="5016" max="5016" width="12.85546875" style="79" customWidth="1"/>
    <col min="5017" max="5017" width="7.85546875" style="79" customWidth="1"/>
    <col min="5018" max="5018" width="7.85546875" style="79" bestFit="1" customWidth="1"/>
    <col min="5019" max="5020" width="9.140625" style="79"/>
    <col min="5021" max="5021" width="7.85546875" style="79" bestFit="1" customWidth="1"/>
    <col min="5022" max="5022" width="9.7109375" style="79" customWidth="1"/>
    <col min="5023" max="5023" width="10.42578125" style="79" customWidth="1"/>
    <col min="5024" max="5270" width="9.140625" style="79"/>
    <col min="5271" max="5271" width="7.7109375" style="79" customWidth="1"/>
    <col min="5272" max="5272" width="12.85546875" style="79" customWidth="1"/>
    <col min="5273" max="5273" width="7.85546875" style="79" customWidth="1"/>
    <col min="5274" max="5274" width="7.85546875" style="79" bestFit="1" customWidth="1"/>
    <col min="5275" max="5276" width="9.140625" style="79"/>
    <col min="5277" max="5277" width="7.85546875" style="79" bestFit="1" customWidth="1"/>
    <col min="5278" max="5278" width="9.7109375" style="79" customWidth="1"/>
    <col min="5279" max="5279" width="10.42578125" style="79" customWidth="1"/>
    <col min="5280" max="5526" width="9.140625" style="79"/>
    <col min="5527" max="5527" width="7.7109375" style="79" customWidth="1"/>
    <col min="5528" max="5528" width="12.85546875" style="79" customWidth="1"/>
    <col min="5529" max="5529" width="7.85546875" style="79" customWidth="1"/>
    <col min="5530" max="5530" width="7.85546875" style="79" bestFit="1" customWidth="1"/>
    <col min="5531" max="5532" width="9.140625" style="79"/>
    <col min="5533" max="5533" width="7.85546875" style="79" bestFit="1" customWidth="1"/>
    <col min="5534" max="5534" width="9.7109375" style="79" customWidth="1"/>
    <col min="5535" max="5535" width="10.42578125" style="79" customWidth="1"/>
    <col min="5536" max="5782" width="9.140625" style="79"/>
    <col min="5783" max="5783" width="7.7109375" style="79" customWidth="1"/>
    <col min="5784" max="5784" width="12.85546875" style="79" customWidth="1"/>
    <col min="5785" max="5785" width="7.85546875" style="79" customWidth="1"/>
    <col min="5786" max="5786" width="7.85546875" style="79" bestFit="1" customWidth="1"/>
    <col min="5787" max="5788" width="9.140625" style="79"/>
    <col min="5789" max="5789" width="7.85546875" style="79" bestFit="1" customWidth="1"/>
    <col min="5790" max="5790" width="9.7109375" style="79" customWidth="1"/>
    <col min="5791" max="5791" width="10.42578125" style="79" customWidth="1"/>
    <col min="5792" max="6038" width="9.140625" style="79"/>
    <col min="6039" max="6039" width="7.7109375" style="79" customWidth="1"/>
    <col min="6040" max="6040" width="12.85546875" style="79" customWidth="1"/>
    <col min="6041" max="6041" width="7.85546875" style="79" customWidth="1"/>
    <col min="6042" max="6042" width="7.85546875" style="79" bestFit="1" customWidth="1"/>
    <col min="6043" max="6044" width="9.140625" style="79"/>
    <col min="6045" max="6045" width="7.85546875" style="79" bestFit="1" customWidth="1"/>
    <col min="6046" max="6046" width="9.7109375" style="79" customWidth="1"/>
    <col min="6047" max="6047" width="10.42578125" style="79" customWidth="1"/>
    <col min="6048" max="6294" width="9.140625" style="79"/>
    <col min="6295" max="6295" width="7.7109375" style="79" customWidth="1"/>
    <col min="6296" max="6296" width="12.85546875" style="79" customWidth="1"/>
    <col min="6297" max="6297" width="7.85546875" style="79" customWidth="1"/>
    <col min="6298" max="6298" width="7.85546875" style="79" bestFit="1" customWidth="1"/>
    <col min="6299" max="6300" width="9.140625" style="79"/>
    <col min="6301" max="6301" width="7.85546875" style="79" bestFit="1" customWidth="1"/>
    <col min="6302" max="6302" width="9.7109375" style="79" customWidth="1"/>
    <col min="6303" max="6303" width="10.42578125" style="79" customWidth="1"/>
    <col min="6304" max="6550" width="9.140625" style="79"/>
    <col min="6551" max="6551" width="7.7109375" style="79" customWidth="1"/>
    <col min="6552" max="6552" width="12.85546875" style="79" customWidth="1"/>
    <col min="6553" max="6553" width="7.85546875" style="79" customWidth="1"/>
    <col min="6554" max="6554" width="7.85546875" style="79" bestFit="1" customWidth="1"/>
    <col min="6555" max="6556" width="9.140625" style="79"/>
    <col min="6557" max="6557" width="7.85546875" style="79" bestFit="1" customWidth="1"/>
    <col min="6558" max="6558" width="9.7109375" style="79" customWidth="1"/>
    <col min="6559" max="6559" width="10.42578125" style="79" customWidth="1"/>
    <col min="6560" max="6806" width="9.140625" style="79"/>
    <col min="6807" max="6807" width="7.7109375" style="79" customWidth="1"/>
    <col min="6808" max="6808" width="12.85546875" style="79" customWidth="1"/>
    <col min="6809" max="6809" width="7.85546875" style="79" customWidth="1"/>
    <col min="6810" max="6810" width="7.85546875" style="79" bestFit="1" customWidth="1"/>
    <col min="6811" max="6812" width="9.140625" style="79"/>
    <col min="6813" max="6813" width="7.85546875" style="79" bestFit="1" customWidth="1"/>
    <col min="6814" max="6814" width="9.7109375" style="79" customWidth="1"/>
    <col min="6815" max="6815" width="10.42578125" style="79" customWidth="1"/>
    <col min="6816" max="7062" width="9.140625" style="79"/>
    <col min="7063" max="7063" width="7.7109375" style="79" customWidth="1"/>
    <col min="7064" max="7064" width="12.85546875" style="79" customWidth="1"/>
    <col min="7065" max="7065" width="7.85546875" style="79" customWidth="1"/>
    <col min="7066" max="7066" width="7.85546875" style="79" bestFit="1" customWidth="1"/>
    <col min="7067" max="7068" width="9.140625" style="79"/>
    <col min="7069" max="7069" width="7.85546875" style="79" bestFit="1" customWidth="1"/>
    <col min="7070" max="7070" width="9.7109375" style="79" customWidth="1"/>
    <col min="7071" max="7071" width="10.42578125" style="79" customWidth="1"/>
    <col min="7072" max="7318" width="9.140625" style="79"/>
    <col min="7319" max="7319" width="7.7109375" style="79" customWidth="1"/>
    <col min="7320" max="7320" width="12.85546875" style="79" customWidth="1"/>
    <col min="7321" max="7321" width="7.85546875" style="79" customWidth="1"/>
    <col min="7322" max="7322" width="7.85546875" style="79" bestFit="1" customWidth="1"/>
    <col min="7323" max="7324" width="9.140625" style="79"/>
    <col min="7325" max="7325" width="7.85546875" style="79" bestFit="1" customWidth="1"/>
    <col min="7326" max="7326" width="9.7109375" style="79" customWidth="1"/>
    <col min="7327" max="7327" width="10.42578125" style="79" customWidth="1"/>
    <col min="7328" max="7574" width="9.140625" style="79"/>
    <col min="7575" max="7575" width="7.7109375" style="79" customWidth="1"/>
    <col min="7576" max="7576" width="12.85546875" style="79" customWidth="1"/>
    <col min="7577" max="7577" width="7.85546875" style="79" customWidth="1"/>
    <col min="7578" max="7578" width="7.85546875" style="79" bestFit="1" customWidth="1"/>
    <col min="7579" max="7580" width="9.140625" style="79"/>
    <col min="7581" max="7581" width="7.85546875" style="79" bestFit="1" customWidth="1"/>
    <col min="7582" max="7582" width="9.7109375" style="79" customWidth="1"/>
    <col min="7583" max="7583" width="10.42578125" style="79" customWidth="1"/>
    <col min="7584" max="7830" width="9.140625" style="79"/>
    <col min="7831" max="7831" width="7.7109375" style="79" customWidth="1"/>
    <col min="7832" max="7832" width="12.85546875" style="79" customWidth="1"/>
    <col min="7833" max="7833" width="7.85546875" style="79" customWidth="1"/>
    <col min="7834" max="7834" width="7.85546875" style="79" bestFit="1" customWidth="1"/>
    <col min="7835" max="7836" width="9.140625" style="79"/>
    <col min="7837" max="7837" width="7.85546875" style="79" bestFit="1" customWidth="1"/>
    <col min="7838" max="7838" width="9.7109375" style="79" customWidth="1"/>
    <col min="7839" max="7839" width="10.42578125" style="79" customWidth="1"/>
    <col min="7840" max="8086" width="9.140625" style="79"/>
    <col min="8087" max="8087" width="7.7109375" style="79" customWidth="1"/>
    <col min="8088" max="8088" width="12.85546875" style="79" customWidth="1"/>
    <col min="8089" max="8089" width="7.85546875" style="79" customWidth="1"/>
    <col min="8090" max="8090" width="7.85546875" style="79" bestFit="1" customWidth="1"/>
    <col min="8091" max="8092" width="9.140625" style="79"/>
    <col min="8093" max="8093" width="7.85546875" style="79" bestFit="1" customWidth="1"/>
    <col min="8094" max="8094" width="9.7109375" style="79" customWidth="1"/>
    <col min="8095" max="8095" width="10.42578125" style="79" customWidth="1"/>
    <col min="8096" max="8342" width="9.140625" style="79"/>
    <col min="8343" max="8343" width="7.7109375" style="79" customWidth="1"/>
    <col min="8344" max="8344" width="12.85546875" style="79" customWidth="1"/>
    <col min="8345" max="8345" width="7.85546875" style="79" customWidth="1"/>
    <col min="8346" max="8346" width="7.85546875" style="79" bestFit="1" customWidth="1"/>
    <col min="8347" max="8348" width="9.140625" style="79"/>
    <col min="8349" max="8349" width="7.85546875" style="79" bestFit="1" customWidth="1"/>
    <col min="8350" max="8350" width="9.7109375" style="79" customWidth="1"/>
    <col min="8351" max="8351" width="10.42578125" style="79" customWidth="1"/>
    <col min="8352" max="8598" width="9.140625" style="79"/>
    <col min="8599" max="8599" width="7.7109375" style="79" customWidth="1"/>
    <col min="8600" max="8600" width="12.85546875" style="79" customWidth="1"/>
    <col min="8601" max="8601" width="7.85546875" style="79" customWidth="1"/>
    <col min="8602" max="8602" width="7.85546875" style="79" bestFit="1" customWidth="1"/>
    <col min="8603" max="8604" width="9.140625" style="79"/>
    <col min="8605" max="8605" width="7.85546875" style="79" bestFit="1" customWidth="1"/>
    <col min="8606" max="8606" width="9.7109375" style="79" customWidth="1"/>
    <col min="8607" max="8607" width="10.42578125" style="79" customWidth="1"/>
    <col min="8608" max="8854" width="9.140625" style="79"/>
    <col min="8855" max="8855" width="7.7109375" style="79" customWidth="1"/>
    <col min="8856" max="8856" width="12.85546875" style="79" customWidth="1"/>
    <col min="8857" max="8857" width="7.85546875" style="79" customWidth="1"/>
    <col min="8858" max="8858" width="7.85546875" style="79" bestFit="1" customWidth="1"/>
    <col min="8859" max="8860" width="9.140625" style="79"/>
    <col min="8861" max="8861" width="7.85546875" style="79" bestFit="1" customWidth="1"/>
    <col min="8862" max="8862" width="9.7109375" style="79" customWidth="1"/>
    <col min="8863" max="8863" width="10.42578125" style="79" customWidth="1"/>
    <col min="8864" max="9110" width="9.140625" style="79"/>
    <col min="9111" max="9111" width="7.7109375" style="79" customWidth="1"/>
    <col min="9112" max="9112" width="12.85546875" style="79" customWidth="1"/>
    <col min="9113" max="9113" width="7.85546875" style="79" customWidth="1"/>
    <col min="9114" max="9114" width="7.85546875" style="79" bestFit="1" customWidth="1"/>
    <col min="9115" max="9116" width="9.140625" style="79"/>
    <col min="9117" max="9117" width="7.85546875" style="79" bestFit="1" customWidth="1"/>
    <col min="9118" max="9118" width="9.7109375" style="79" customWidth="1"/>
    <col min="9119" max="9119" width="10.42578125" style="79" customWidth="1"/>
    <col min="9120" max="9366" width="9.140625" style="79"/>
    <col min="9367" max="9367" width="7.7109375" style="79" customWidth="1"/>
    <col min="9368" max="9368" width="12.85546875" style="79" customWidth="1"/>
    <col min="9369" max="9369" width="7.85546875" style="79" customWidth="1"/>
    <col min="9370" max="9370" width="7.85546875" style="79" bestFit="1" customWidth="1"/>
    <col min="9371" max="9372" width="9.140625" style="79"/>
    <col min="9373" max="9373" width="7.85546875" style="79" bestFit="1" customWidth="1"/>
    <col min="9374" max="9374" width="9.7109375" style="79" customWidth="1"/>
    <col min="9375" max="9375" width="10.42578125" style="79" customWidth="1"/>
    <col min="9376" max="9622" width="9.140625" style="79"/>
    <col min="9623" max="9623" width="7.7109375" style="79" customWidth="1"/>
    <col min="9624" max="9624" width="12.85546875" style="79" customWidth="1"/>
    <col min="9625" max="9625" width="7.85546875" style="79" customWidth="1"/>
    <col min="9626" max="9626" width="7.85546875" style="79" bestFit="1" customWidth="1"/>
    <col min="9627" max="9628" width="9.140625" style="79"/>
    <col min="9629" max="9629" width="7.85546875" style="79" bestFit="1" customWidth="1"/>
    <col min="9630" max="9630" width="9.7109375" style="79" customWidth="1"/>
    <col min="9631" max="9631" width="10.42578125" style="79" customWidth="1"/>
    <col min="9632" max="9878" width="9.140625" style="79"/>
    <col min="9879" max="9879" width="7.7109375" style="79" customWidth="1"/>
    <col min="9880" max="9880" width="12.85546875" style="79" customWidth="1"/>
    <col min="9881" max="9881" width="7.85546875" style="79" customWidth="1"/>
    <col min="9882" max="9882" width="7.85546875" style="79" bestFit="1" customWidth="1"/>
    <col min="9883" max="9884" width="9.140625" style="79"/>
    <col min="9885" max="9885" width="7.85546875" style="79" bestFit="1" customWidth="1"/>
    <col min="9886" max="9886" width="9.7109375" style="79" customWidth="1"/>
    <col min="9887" max="9887" width="10.42578125" style="79" customWidth="1"/>
    <col min="9888" max="10134" width="9.140625" style="79"/>
    <col min="10135" max="10135" width="7.7109375" style="79" customWidth="1"/>
    <col min="10136" max="10136" width="12.85546875" style="79" customWidth="1"/>
    <col min="10137" max="10137" width="7.85546875" style="79" customWidth="1"/>
    <col min="10138" max="10138" width="7.85546875" style="79" bestFit="1" customWidth="1"/>
    <col min="10139" max="10140" width="9.140625" style="79"/>
    <col min="10141" max="10141" width="7.85546875" style="79" bestFit="1" customWidth="1"/>
    <col min="10142" max="10142" width="9.7109375" style="79" customWidth="1"/>
    <col min="10143" max="10143" width="10.42578125" style="79" customWidth="1"/>
    <col min="10144" max="10390" width="9.140625" style="79"/>
    <col min="10391" max="10391" width="7.7109375" style="79" customWidth="1"/>
    <col min="10392" max="10392" width="12.85546875" style="79" customWidth="1"/>
    <col min="10393" max="10393" width="7.85546875" style="79" customWidth="1"/>
    <col min="10394" max="10394" width="7.85546875" style="79" bestFit="1" customWidth="1"/>
    <col min="10395" max="10396" width="9.140625" style="79"/>
    <col min="10397" max="10397" width="7.85546875" style="79" bestFit="1" customWidth="1"/>
    <col min="10398" max="10398" width="9.7109375" style="79" customWidth="1"/>
    <col min="10399" max="10399" width="10.42578125" style="79" customWidth="1"/>
    <col min="10400" max="10646" width="9.140625" style="79"/>
    <col min="10647" max="10647" width="7.7109375" style="79" customWidth="1"/>
    <col min="10648" max="10648" width="12.85546875" style="79" customWidth="1"/>
    <col min="10649" max="10649" width="7.85546875" style="79" customWidth="1"/>
    <col min="10650" max="10650" width="7.85546875" style="79" bestFit="1" customWidth="1"/>
    <col min="10651" max="10652" width="9.140625" style="79"/>
    <col min="10653" max="10653" width="7.85546875" style="79" bestFit="1" customWidth="1"/>
    <col min="10654" max="10654" width="9.7109375" style="79" customWidth="1"/>
    <col min="10655" max="10655" width="10.42578125" style="79" customWidth="1"/>
    <col min="10656" max="10902" width="9.140625" style="79"/>
    <col min="10903" max="10903" width="7.7109375" style="79" customWidth="1"/>
    <col min="10904" max="10904" width="12.85546875" style="79" customWidth="1"/>
    <col min="10905" max="10905" width="7.85546875" style="79" customWidth="1"/>
    <col min="10906" max="10906" width="7.85546875" style="79" bestFit="1" customWidth="1"/>
    <col min="10907" max="10908" width="9.140625" style="79"/>
    <col min="10909" max="10909" width="7.85546875" style="79" bestFit="1" customWidth="1"/>
    <col min="10910" max="10910" width="9.7109375" style="79" customWidth="1"/>
    <col min="10911" max="10911" width="10.42578125" style="79" customWidth="1"/>
    <col min="10912" max="11158" width="9.140625" style="79"/>
    <col min="11159" max="11159" width="7.7109375" style="79" customWidth="1"/>
    <col min="11160" max="11160" width="12.85546875" style="79" customWidth="1"/>
    <col min="11161" max="11161" width="7.85546875" style="79" customWidth="1"/>
    <col min="11162" max="11162" width="7.85546875" style="79" bestFit="1" customWidth="1"/>
    <col min="11163" max="11164" width="9.140625" style="79"/>
    <col min="11165" max="11165" width="7.85546875" style="79" bestFit="1" customWidth="1"/>
    <col min="11166" max="11166" width="9.7109375" style="79" customWidth="1"/>
    <col min="11167" max="11167" width="10.42578125" style="79" customWidth="1"/>
    <col min="11168" max="11414" width="9.140625" style="79"/>
    <col min="11415" max="11415" width="7.7109375" style="79" customWidth="1"/>
    <col min="11416" max="11416" width="12.85546875" style="79" customWidth="1"/>
    <col min="11417" max="11417" width="7.85546875" style="79" customWidth="1"/>
    <col min="11418" max="11418" width="7.85546875" style="79" bestFit="1" customWidth="1"/>
    <col min="11419" max="11420" width="9.140625" style="79"/>
    <col min="11421" max="11421" width="7.85546875" style="79" bestFit="1" customWidth="1"/>
    <col min="11422" max="11422" width="9.7109375" style="79" customWidth="1"/>
    <col min="11423" max="11423" width="10.42578125" style="79" customWidth="1"/>
    <col min="11424" max="11670" width="9.140625" style="79"/>
    <col min="11671" max="11671" width="7.7109375" style="79" customWidth="1"/>
    <col min="11672" max="11672" width="12.85546875" style="79" customWidth="1"/>
    <col min="11673" max="11673" width="7.85546875" style="79" customWidth="1"/>
    <col min="11674" max="11674" width="7.85546875" style="79" bestFit="1" customWidth="1"/>
    <col min="11675" max="11676" width="9.140625" style="79"/>
    <col min="11677" max="11677" width="7.85546875" style="79" bestFit="1" customWidth="1"/>
    <col min="11678" max="11678" width="9.7109375" style="79" customWidth="1"/>
    <col min="11679" max="11679" width="10.42578125" style="79" customWidth="1"/>
    <col min="11680" max="11926" width="9.140625" style="79"/>
    <col min="11927" max="11927" width="7.7109375" style="79" customWidth="1"/>
    <col min="11928" max="11928" width="12.85546875" style="79" customWidth="1"/>
    <col min="11929" max="11929" width="7.85546875" style="79" customWidth="1"/>
    <col min="11930" max="11930" width="7.85546875" style="79" bestFit="1" customWidth="1"/>
    <col min="11931" max="11932" width="9.140625" style="79"/>
    <col min="11933" max="11933" width="7.85546875" style="79" bestFit="1" customWidth="1"/>
    <col min="11934" max="11934" width="9.7109375" style="79" customWidth="1"/>
    <col min="11935" max="11935" width="10.42578125" style="79" customWidth="1"/>
    <col min="11936" max="12182" width="9.140625" style="79"/>
    <col min="12183" max="12183" width="7.7109375" style="79" customWidth="1"/>
    <col min="12184" max="12184" width="12.85546875" style="79" customWidth="1"/>
    <col min="12185" max="12185" width="7.85546875" style="79" customWidth="1"/>
    <col min="12186" max="12186" width="7.85546875" style="79" bestFit="1" customWidth="1"/>
    <col min="12187" max="12188" width="9.140625" style="79"/>
    <col min="12189" max="12189" width="7.85546875" style="79" bestFit="1" customWidth="1"/>
    <col min="12190" max="12190" width="9.7109375" style="79" customWidth="1"/>
    <col min="12191" max="12191" width="10.42578125" style="79" customWidth="1"/>
    <col min="12192" max="12438" width="9.140625" style="79"/>
    <col min="12439" max="12439" width="7.7109375" style="79" customWidth="1"/>
    <col min="12440" max="12440" width="12.85546875" style="79" customWidth="1"/>
    <col min="12441" max="12441" width="7.85546875" style="79" customWidth="1"/>
    <col min="12442" max="12442" width="7.85546875" style="79" bestFit="1" customWidth="1"/>
    <col min="12443" max="12444" width="9.140625" style="79"/>
    <col min="12445" max="12445" width="7.85546875" style="79" bestFit="1" customWidth="1"/>
    <col min="12446" max="12446" width="9.7109375" style="79" customWidth="1"/>
    <col min="12447" max="12447" width="10.42578125" style="79" customWidth="1"/>
    <col min="12448" max="12694" width="9.140625" style="79"/>
    <col min="12695" max="12695" width="7.7109375" style="79" customWidth="1"/>
    <col min="12696" max="12696" width="12.85546875" style="79" customWidth="1"/>
    <col min="12697" max="12697" width="7.85546875" style="79" customWidth="1"/>
    <col min="12698" max="12698" width="7.85546875" style="79" bestFit="1" customWidth="1"/>
    <col min="12699" max="12700" width="9.140625" style="79"/>
    <col min="12701" max="12701" width="7.85546875" style="79" bestFit="1" customWidth="1"/>
    <col min="12702" max="12702" width="9.7109375" style="79" customWidth="1"/>
    <col min="12703" max="12703" width="10.42578125" style="79" customWidth="1"/>
    <col min="12704" max="12950" width="9.140625" style="79"/>
    <col min="12951" max="12951" width="7.7109375" style="79" customWidth="1"/>
    <col min="12952" max="12952" width="12.85546875" style="79" customWidth="1"/>
    <col min="12953" max="12953" width="7.85546875" style="79" customWidth="1"/>
    <col min="12954" max="12954" width="7.85546875" style="79" bestFit="1" customWidth="1"/>
    <col min="12955" max="12956" width="9.140625" style="79"/>
    <col min="12957" max="12957" width="7.85546875" style="79" bestFit="1" customWidth="1"/>
    <col min="12958" max="12958" width="9.7109375" style="79" customWidth="1"/>
    <col min="12959" max="12959" width="10.42578125" style="79" customWidth="1"/>
    <col min="12960" max="13206" width="9.140625" style="79"/>
    <col min="13207" max="13207" width="7.7109375" style="79" customWidth="1"/>
    <col min="13208" max="13208" width="12.85546875" style="79" customWidth="1"/>
    <col min="13209" max="13209" width="7.85546875" style="79" customWidth="1"/>
    <col min="13210" max="13210" width="7.85546875" style="79" bestFit="1" customWidth="1"/>
    <col min="13211" max="13212" width="9.140625" style="79"/>
    <col min="13213" max="13213" width="7.85546875" style="79" bestFit="1" customWidth="1"/>
    <col min="13214" max="13214" width="9.7109375" style="79" customWidth="1"/>
    <col min="13215" max="13215" width="10.42578125" style="79" customWidth="1"/>
    <col min="13216" max="13462" width="9.140625" style="79"/>
    <col min="13463" max="13463" width="7.7109375" style="79" customWidth="1"/>
    <col min="13464" max="13464" width="12.85546875" style="79" customWidth="1"/>
    <col min="13465" max="13465" width="7.85546875" style="79" customWidth="1"/>
    <col min="13466" max="13466" width="7.85546875" style="79" bestFit="1" customWidth="1"/>
    <col min="13467" max="13468" width="9.140625" style="79"/>
    <col min="13469" max="13469" width="7.85546875" style="79" bestFit="1" customWidth="1"/>
    <col min="13470" max="13470" width="9.7109375" style="79" customWidth="1"/>
    <col min="13471" max="13471" width="10.42578125" style="79" customWidth="1"/>
    <col min="13472" max="13718" width="9.140625" style="79"/>
    <col min="13719" max="13719" width="7.7109375" style="79" customWidth="1"/>
    <col min="13720" max="13720" width="12.85546875" style="79" customWidth="1"/>
    <col min="13721" max="13721" width="7.85546875" style="79" customWidth="1"/>
    <col min="13722" max="13722" width="7.85546875" style="79" bestFit="1" customWidth="1"/>
    <col min="13723" max="13724" width="9.140625" style="79"/>
    <col min="13725" max="13725" width="7.85546875" style="79" bestFit="1" customWidth="1"/>
    <col min="13726" max="13726" width="9.7109375" style="79" customWidth="1"/>
    <col min="13727" max="13727" width="10.42578125" style="79" customWidth="1"/>
    <col min="13728" max="13974" width="9.140625" style="79"/>
    <col min="13975" max="13975" width="7.7109375" style="79" customWidth="1"/>
    <col min="13976" max="13976" width="12.85546875" style="79" customWidth="1"/>
    <col min="13977" max="13977" width="7.85546875" style="79" customWidth="1"/>
    <col min="13978" max="13978" width="7.85546875" style="79" bestFit="1" customWidth="1"/>
    <col min="13979" max="13980" width="9.140625" style="79"/>
    <col min="13981" max="13981" width="7.85546875" style="79" bestFit="1" customWidth="1"/>
    <col min="13982" max="13982" width="9.7109375" style="79" customWidth="1"/>
    <col min="13983" max="13983" width="10.42578125" style="79" customWidth="1"/>
    <col min="13984" max="14230" width="9.140625" style="79"/>
    <col min="14231" max="14231" width="7.7109375" style="79" customWidth="1"/>
    <col min="14232" max="14232" width="12.85546875" style="79" customWidth="1"/>
    <col min="14233" max="14233" width="7.85546875" style="79" customWidth="1"/>
    <col min="14234" max="14234" width="7.85546875" style="79" bestFit="1" customWidth="1"/>
    <col min="14235" max="14236" width="9.140625" style="79"/>
    <col min="14237" max="14237" width="7.85546875" style="79" bestFit="1" customWidth="1"/>
    <col min="14238" max="14238" width="9.7109375" style="79" customWidth="1"/>
    <col min="14239" max="14239" width="10.42578125" style="79" customWidth="1"/>
    <col min="14240" max="14486" width="9.140625" style="79"/>
    <col min="14487" max="14487" width="7.7109375" style="79" customWidth="1"/>
    <col min="14488" max="14488" width="12.85546875" style="79" customWidth="1"/>
    <col min="14489" max="14489" width="7.85546875" style="79" customWidth="1"/>
    <col min="14490" max="14490" width="7.85546875" style="79" bestFit="1" customWidth="1"/>
    <col min="14491" max="14492" width="9.140625" style="79"/>
    <col min="14493" max="14493" width="7.85546875" style="79" bestFit="1" customWidth="1"/>
    <col min="14494" max="14494" width="9.7109375" style="79" customWidth="1"/>
    <col min="14495" max="14495" width="10.42578125" style="79" customWidth="1"/>
    <col min="14496" max="14742" width="9.140625" style="79"/>
    <col min="14743" max="14743" width="7.7109375" style="79" customWidth="1"/>
    <col min="14744" max="14744" width="12.85546875" style="79" customWidth="1"/>
    <col min="14745" max="14745" width="7.85546875" style="79" customWidth="1"/>
    <col min="14746" max="14746" width="7.85546875" style="79" bestFit="1" customWidth="1"/>
    <col min="14747" max="14748" width="9.140625" style="79"/>
    <col min="14749" max="14749" width="7.85546875" style="79" bestFit="1" customWidth="1"/>
    <col min="14750" max="14750" width="9.7109375" style="79" customWidth="1"/>
    <col min="14751" max="14751" width="10.42578125" style="79" customWidth="1"/>
    <col min="14752" max="14998" width="9.140625" style="79"/>
    <col min="14999" max="14999" width="7.7109375" style="79" customWidth="1"/>
    <col min="15000" max="15000" width="12.85546875" style="79" customWidth="1"/>
    <col min="15001" max="15001" width="7.85546875" style="79" customWidth="1"/>
    <col min="15002" max="15002" width="7.85546875" style="79" bestFit="1" customWidth="1"/>
    <col min="15003" max="15004" width="9.140625" style="79"/>
    <col min="15005" max="15005" width="7.85546875" style="79" bestFit="1" customWidth="1"/>
    <col min="15006" max="15006" width="9.7109375" style="79" customWidth="1"/>
    <col min="15007" max="15007" width="10.42578125" style="79" customWidth="1"/>
    <col min="15008" max="15254" width="9.140625" style="79"/>
    <col min="15255" max="15255" width="7.7109375" style="79" customWidth="1"/>
    <col min="15256" max="15256" width="12.85546875" style="79" customWidth="1"/>
    <col min="15257" max="15257" width="7.85546875" style="79" customWidth="1"/>
    <col min="15258" max="15258" width="7.85546875" style="79" bestFit="1" customWidth="1"/>
    <col min="15259" max="15260" width="9.140625" style="79"/>
    <col min="15261" max="15261" width="7.85546875" style="79" bestFit="1" customWidth="1"/>
    <col min="15262" max="15262" width="9.7109375" style="79" customWidth="1"/>
    <col min="15263" max="15263" width="10.42578125" style="79" customWidth="1"/>
    <col min="15264" max="15510" width="9.140625" style="79"/>
    <col min="15511" max="15511" width="7.7109375" style="79" customWidth="1"/>
    <col min="15512" max="15512" width="12.85546875" style="79" customWidth="1"/>
    <col min="15513" max="15513" width="7.85546875" style="79" customWidth="1"/>
    <col min="15514" max="15514" width="7.85546875" style="79" bestFit="1" customWidth="1"/>
    <col min="15515" max="15516" width="9.140625" style="79"/>
    <col min="15517" max="15517" width="7.85546875" style="79" bestFit="1" customWidth="1"/>
    <col min="15518" max="15518" width="9.7109375" style="79" customWidth="1"/>
    <col min="15519" max="15519" width="10.42578125" style="79" customWidth="1"/>
    <col min="15520" max="15766" width="9.140625" style="79"/>
    <col min="15767" max="15767" width="7.7109375" style="79" customWidth="1"/>
    <col min="15768" max="15768" width="12.85546875" style="79" customWidth="1"/>
    <col min="15769" max="15769" width="7.85546875" style="79" customWidth="1"/>
    <col min="15770" max="15770" width="7.85546875" style="79" bestFit="1" customWidth="1"/>
    <col min="15771" max="15772" width="9.140625" style="79"/>
    <col min="15773" max="15773" width="7.85546875" style="79" bestFit="1" customWidth="1"/>
    <col min="15774" max="15774" width="9.7109375" style="79" customWidth="1"/>
    <col min="15775" max="15775" width="10.42578125" style="79" customWidth="1"/>
    <col min="15776" max="16022" width="9.140625" style="79"/>
    <col min="16023" max="16023" width="7.7109375" style="79" customWidth="1"/>
    <col min="16024" max="16024" width="12.85546875" style="79" customWidth="1"/>
    <col min="16025" max="16025" width="7.85546875" style="79" customWidth="1"/>
    <col min="16026" max="16026" width="7.85546875" style="79" bestFit="1" customWidth="1"/>
    <col min="16027" max="16028" width="9.140625" style="79"/>
    <col min="16029" max="16029" width="7.85546875" style="79" bestFit="1" customWidth="1"/>
    <col min="16030" max="16030" width="9.7109375" style="79" customWidth="1"/>
    <col min="16031" max="16031" width="10.42578125" style="79" customWidth="1"/>
    <col min="16032" max="16384" width="9.140625" style="79"/>
  </cols>
  <sheetData>
    <row r="1" spans="1:11" s="38" customFormat="1" ht="20.25" customHeight="1" x14ac:dyDescent="0.25">
      <c r="A1" s="36" t="s">
        <v>35</v>
      </c>
      <c r="B1" s="35"/>
      <c r="C1" s="35"/>
      <c r="D1" s="36" t="s">
        <v>58</v>
      </c>
      <c r="E1" s="36"/>
      <c r="F1" s="35"/>
      <c r="G1" s="35"/>
      <c r="H1" s="35"/>
      <c r="I1" s="77" t="s">
        <v>37</v>
      </c>
      <c r="J1" s="284"/>
    </row>
    <row r="2" spans="1:11" s="39" customFormat="1" ht="25.5" customHeight="1" x14ac:dyDescent="0.2">
      <c r="A2" s="443" t="s">
        <v>57</v>
      </c>
      <c r="B2" s="444"/>
      <c r="C2" s="471"/>
      <c r="D2" s="443" t="s">
        <v>741</v>
      </c>
      <c r="E2" s="444"/>
      <c r="F2" s="444"/>
      <c r="G2" s="444"/>
      <c r="H2" s="471"/>
      <c r="I2" s="301">
        <v>44424</v>
      </c>
      <c r="J2" s="308"/>
      <c r="K2" s="283"/>
    </row>
    <row r="3" spans="1:11" s="78" customFormat="1" ht="15" customHeight="1" x14ac:dyDescent="0.2">
      <c r="A3" s="461"/>
      <c r="B3" s="461"/>
      <c r="C3" s="461"/>
      <c r="D3" s="461"/>
      <c r="E3" s="461"/>
      <c r="F3" s="461"/>
      <c r="G3" s="461"/>
      <c r="H3" s="461"/>
      <c r="I3" s="461"/>
      <c r="J3" s="307"/>
    </row>
    <row r="4" spans="1:11" s="78" customFormat="1" ht="18" customHeight="1" x14ac:dyDescent="0.25">
      <c r="A4" s="470" t="s">
        <v>59</v>
      </c>
      <c r="B4" s="470"/>
      <c r="C4" s="470"/>
      <c r="D4" s="470"/>
      <c r="E4" s="470"/>
      <c r="F4" s="470"/>
      <c r="G4" s="470"/>
      <c r="H4" s="470"/>
      <c r="I4" s="470"/>
      <c r="J4" s="286"/>
    </row>
    <row r="5" spans="1:11" ht="14.25" customHeight="1" x14ac:dyDescent="0.2">
      <c r="A5" s="462" t="s">
        <v>60</v>
      </c>
      <c r="B5" s="464" t="s">
        <v>61</v>
      </c>
      <c r="C5" s="464" t="s">
        <v>2</v>
      </c>
      <c r="D5" s="464" t="s">
        <v>62</v>
      </c>
      <c r="E5" s="464"/>
      <c r="F5" s="464"/>
      <c r="G5" s="468" t="s">
        <v>63</v>
      </c>
      <c r="H5" s="469"/>
      <c r="I5" s="464" t="s">
        <v>64</v>
      </c>
    </row>
    <row r="6" spans="1:11" ht="14.25" customHeight="1" x14ac:dyDescent="0.2">
      <c r="A6" s="462"/>
      <c r="B6" s="462"/>
      <c r="C6" s="462"/>
      <c r="D6" s="462" t="s">
        <v>65</v>
      </c>
      <c r="E6" s="462" t="s">
        <v>66</v>
      </c>
      <c r="F6" s="462" t="s">
        <v>67</v>
      </c>
      <c r="G6" s="463" t="s">
        <v>65</v>
      </c>
      <c r="H6" s="463" t="s">
        <v>68</v>
      </c>
      <c r="I6" s="462"/>
    </row>
    <row r="7" spans="1:11" ht="20.25" customHeight="1" x14ac:dyDescent="0.2">
      <c r="A7" s="462"/>
      <c r="B7" s="462"/>
      <c r="C7" s="462"/>
      <c r="D7" s="462"/>
      <c r="E7" s="462"/>
      <c r="F7" s="462"/>
      <c r="G7" s="464"/>
      <c r="H7" s="464"/>
      <c r="I7" s="462"/>
    </row>
    <row r="8" spans="1:11" s="84" customFormat="1" x14ac:dyDescent="0.2">
      <c r="A8" s="80">
        <v>2</v>
      </c>
      <c r="B8" s="81" t="s">
        <v>73</v>
      </c>
      <c r="C8" s="82">
        <v>400</v>
      </c>
      <c r="D8" s="83"/>
      <c r="E8" s="82"/>
      <c r="F8" s="83"/>
      <c r="G8" s="83">
        <v>1</v>
      </c>
      <c r="H8" s="83">
        <v>290</v>
      </c>
      <c r="I8" s="83">
        <f t="shared" ref="I8:I15" si="0">IF(AND(D8="",G8=""),"",IF(D8="",G8*H8,D8*(E8/1000)*F8+D8*G8*H8))</f>
        <v>290</v>
      </c>
      <c r="J8" s="287"/>
    </row>
    <row r="9" spans="1:11" s="84" customFormat="1" x14ac:dyDescent="0.2">
      <c r="A9" s="80">
        <v>3</v>
      </c>
      <c r="B9" s="90" t="s">
        <v>74</v>
      </c>
      <c r="C9" s="82">
        <v>400</v>
      </c>
      <c r="D9" s="83"/>
      <c r="E9" s="82"/>
      <c r="F9" s="83"/>
      <c r="G9" s="83">
        <v>1</v>
      </c>
      <c r="H9" s="83">
        <v>95.4</v>
      </c>
      <c r="I9" s="83">
        <f t="shared" ref="I9" si="1">IF(AND(D9="",G9=""),"",IF(D9="",G9*H9,D9*(E9/1000)*F9+D9*G9*H9))</f>
        <v>95.4</v>
      </c>
      <c r="J9" s="287"/>
    </row>
    <row r="10" spans="1:11" s="84" customFormat="1" x14ac:dyDescent="0.2">
      <c r="A10" s="80">
        <v>4</v>
      </c>
      <c r="B10" s="81" t="s">
        <v>71</v>
      </c>
      <c r="C10" s="82">
        <v>400</v>
      </c>
      <c r="D10" s="83">
        <v>1</v>
      </c>
      <c r="E10" s="82">
        <v>1000</v>
      </c>
      <c r="F10" s="83">
        <v>89.5</v>
      </c>
      <c r="G10" s="83">
        <v>1</v>
      </c>
      <c r="H10" s="83">
        <v>57.3</v>
      </c>
      <c r="I10" s="83">
        <f t="shared" ref="I10" si="2">IF(AND(D10="",G10=""),"",IF(D10="",G10*H10,D10*(E10/1000)*F10+D10*G10*H10))</f>
        <v>146.80000000000001</v>
      </c>
      <c r="J10" s="287"/>
    </row>
    <row r="11" spans="1:11" s="89" customFormat="1" x14ac:dyDescent="0.2">
      <c r="A11" s="85">
        <v>7</v>
      </c>
      <c r="B11" s="90" t="s">
        <v>72</v>
      </c>
      <c r="C11" s="87">
        <v>400</v>
      </c>
      <c r="D11" s="88">
        <v>1</v>
      </c>
      <c r="E11" s="87">
        <v>1800</v>
      </c>
      <c r="F11" s="88">
        <v>89.5</v>
      </c>
      <c r="G11" s="88">
        <v>1</v>
      </c>
      <c r="H11" s="88">
        <v>28</v>
      </c>
      <c r="I11" s="88">
        <f t="shared" si="0"/>
        <v>189.1</v>
      </c>
      <c r="J11" s="287"/>
    </row>
    <row r="12" spans="1:11" s="89" customFormat="1" x14ac:dyDescent="0.2">
      <c r="A12" s="100">
        <v>2</v>
      </c>
      <c r="B12" s="81" t="s">
        <v>73</v>
      </c>
      <c r="C12" s="91">
        <v>300</v>
      </c>
      <c r="D12" s="101"/>
      <c r="E12" s="92"/>
      <c r="F12" s="93"/>
      <c r="G12" s="93">
        <v>10</v>
      </c>
      <c r="H12" s="94">
        <v>155</v>
      </c>
      <c r="I12" s="83">
        <f t="shared" si="0"/>
        <v>1550</v>
      </c>
      <c r="J12" s="287"/>
    </row>
    <row r="13" spans="1:11" s="89" customFormat="1" x14ac:dyDescent="0.2">
      <c r="A13" s="102">
        <v>3</v>
      </c>
      <c r="B13" s="81" t="s">
        <v>73</v>
      </c>
      <c r="C13" s="91">
        <v>100</v>
      </c>
      <c r="D13" s="83"/>
      <c r="E13" s="95"/>
      <c r="F13" s="93"/>
      <c r="G13" s="93">
        <v>2</v>
      </c>
      <c r="H13" s="94">
        <v>20</v>
      </c>
      <c r="I13" s="83">
        <f t="shared" si="0"/>
        <v>40</v>
      </c>
      <c r="J13" s="287"/>
    </row>
    <row r="14" spans="1:11" s="89" customFormat="1" x14ac:dyDescent="0.2">
      <c r="A14" s="102">
        <v>5</v>
      </c>
      <c r="B14" s="90" t="s">
        <v>171</v>
      </c>
      <c r="C14" s="91">
        <v>700</v>
      </c>
      <c r="D14" s="83"/>
      <c r="E14" s="95"/>
      <c r="F14" s="93"/>
      <c r="G14" s="93">
        <v>1</v>
      </c>
      <c r="H14" s="94">
        <v>295</v>
      </c>
      <c r="I14" s="83">
        <f t="shared" si="0"/>
        <v>295</v>
      </c>
      <c r="J14" s="287"/>
    </row>
    <row r="15" spans="1:11" s="89" customFormat="1" x14ac:dyDescent="0.2">
      <c r="A15" s="80">
        <v>9</v>
      </c>
      <c r="B15" s="81" t="s">
        <v>78</v>
      </c>
      <c r="C15" s="91">
        <v>300</v>
      </c>
      <c r="D15" s="101"/>
      <c r="E15" s="92"/>
      <c r="F15" s="93"/>
      <c r="G15" s="93">
        <v>5</v>
      </c>
      <c r="H15" s="94">
        <v>66</v>
      </c>
      <c r="I15" s="83">
        <f t="shared" si="0"/>
        <v>330</v>
      </c>
      <c r="J15" s="287"/>
    </row>
    <row r="16" spans="1:11" s="78" customFormat="1" ht="18" customHeight="1" x14ac:dyDescent="0.2">
      <c r="A16" s="465" t="s">
        <v>76</v>
      </c>
      <c r="B16" s="466"/>
      <c r="C16" s="466"/>
      <c r="D16" s="466"/>
      <c r="E16" s="466"/>
      <c r="F16" s="466"/>
      <c r="G16" s="466"/>
      <c r="H16" s="466"/>
      <c r="I16" s="96">
        <f>SUM(I8:I15)*1.05</f>
        <v>3083.1150000000002</v>
      </c>
      <c r="J16" s="285" t="s">
        <v>42</v>
      </c>
    </row>
    <row r="17" spans="1:10" s="78" customFormat="1" ht="15" customHeight="1" x14ac:dyDescent="0.2">
      <c r="A17" s="461"/>
      <c r="B17" s="461"/>
      <c r="C17" s="461"/>
      <c r="D17" s="461"/>
      <c r="E17" s="461"/>
      <c r="F17" s="461"/>
      <c r="G17" s="461"/>
      <c r="H17" s="461"/>
      <c r="I17" s="461"/>
      <c r="J17" s="285"/>
    </row>
    <row r="18" spans="1:10" s="78" customFormat="1" ht="18" customHeight="1" x14ac:dyDescent="0.25">
      <c r="A18" s="470" t="s">
        <v>77</v>
      </c>
      <c r="B18" s="470"/>
      <c r="C18" s="470"/>
      <c r="D18" s="470"/>
      <c r="E18" s="470"/>
      <c r="F18" s="470"/>
      <c r="G18" s="470"/>
      <c r="H18" s="470"/>
      <c r="I18" s="470"/>
      <c r="J18" s="286"/>
    </row>
    <row r="19" spans="1:10" ht="14.25" customHeight="1" x14ac:dyDescent="0.2">
      <c r="A19" s="462" t="s">
        <v>60</v>
      </c>
      <c r="B19" s="464" t="s">
        <v>61</v>
      </c>
      <c r="C19" s="464" t="s">
        <v>2</v>
      </c>
      <c r="D19" s="464" t="s">
        <v>62</v>
      </c>
      <c r="E19" s="464"/>
      <c r="F19" s="464"/>
      <c r="G19" s="468" t="s">
        <v>63</v>
      </c>
      <c r="H19" s="469"/>
      <c r="I19" s="464" t="s">
        <v>64</v>
      </c>
    </row>
    <row r="20" spans="1:10" ht="14.25" customHeight="1" x14ac:dyDescent="0.2">
      <c r="A20" s="462"/>
      <c r="B20" s="462"/>
      <c r="C20" s="462"/>
      <c r="D20" s="462" t="s">
        <v>65</v>
      </c>
      <c r="E20" s="462" t="s">
        <v>66</v>
      </c>
      <c r="F20" s="462" t="s">
        <v>67</v>
      </c>
      <c r="G20" s="463" t="s">
        <v>65</v>
      </c>
      <c r="H20" s="463" t="s">
        <v>68</v>
      </c>
      <c r="I20" s="462"/>
    </row>
    <row r="21" spans="1:10" ht="21.75" customHeight="1" x14ac:dyDescent="0.2">
      <c r="A21" s="462"/>
      <c r="B21" s="462"/>
      <c r="C21" s="462"/>
      <c r="D21" s="462"/>
      <c r="E21" s="462"/>
      <c r="F21" s="462"/>
      <c r="G21" s="464"/>
      <c r="H21" s="464"/>
      <c r="I21" s="462"/>
    </row>
    <row r="22" spans="1:10" s="97" customFormat="1" x14ac:dyDescent="0.2">
      <c r="A22" s="85">
        <v>2</v>
      </c>
      <c r="B22" s="81" t="s">
        <v>73</v>
      </c>
      <c r="C22" s="87">
        <v>200</v>
      </c>
      <c r="D22" s="88"/>
      <c r="E22" s="87"/>
      <c r="F22" s="88"/>
      <c r="G22" s="88">
        <v>1</v>
      </c>
      <c r="H22" s="88">
        <v>66</v>
      </c>
      <c r="I22" s="88">
        <f t="shared" ref="I22:I23" si="3">IF(AND(D22="",G22=""),"",IF(D22="",G22*H22,D22*(E22/1000)*F22+D22*G22*H22))</f>
        <v>66</v>
      </c>
      <c r="J22" s="287"/>
    </row>
    <row r="23" spans="1:10" s="84" customFormat="1" x14ac:dyDescent="0.2">
      <c r="A23" s="80">
        <v>5</v>
      </c>
      <c r="B23" s="81" t="s">
        <v>73</v>
      </c>
      <c r="C23" s="82">
        <v>150</v>
      </c>
      <c r="D23" s="83"/>
      <c r="E23" s="82"/>
      <c r="F23" s="83"/>
      <c r="G23" s="83">
        <v>1</v>
      </c>
      <c r="H23" s="83">
        <v>33</v>
      </c>
      <c r="I23" s="83">
        <f t="shared" si="3"/>
        <v>33</v>
      </c>
      <c r="J23" s="287"/>
    </row>
    <row r="24" spans="1:10" s="78" customFormat="1" ht="18" customHeight="1" x14ac:dyDescent="0.2">
      <c r="A24" s="465" t="s">
        <v>76</v>
      </c>
      <c r="B24" s="466"/>
      <c r="C24" s="466"/>
      <c r="D24" s="466"/>
      <c r="E24" s="466"/>
      <c r="F24" s="466"/>
      <c r="G24" s="466"/>
      <c r="H24" s="466"/>
      <c r="I24" s="96">
        <f>SUM(I22:I23)*1.05</f>
        <v>103.95</v>
      </c>
      <c r="J24" s="285" t="s">
        <v>42</v>
      </c>
    </row>
    <row r="25" spans="1:10" s="78" customFormat="1" ht="15" customHeight="1" x14ac:dyDescent="0.2">
      <c r="A25" s="461"/>
      <c r="B25" s="461"/>
      <c r="C25" s="461"/>
      <c r="D25" s="461"/>
      <c r="E25" s="461"/>
      <c r="F25" s="461"/>
      <c r="G25" s="461"/>
      <c r="H25" s="461"/>
      <c r="I25" s="461"/>
      <c r="J25" s="285"/>
    </row>
    <row r="26" spans="1:10" s="78" customFormat="1" ht="18" customHeight="1" x14ac:dyDescent="0.25">
      <c r="A26" s="470" t="s">
        <v>500</v>
      </c>
      <c r="B26" s="470"/>
      <c r="C26" s="470"/>
      <c r="D26" s="470"/>
      <c r="E26" s="470"/>
      <c r="F26" s="470"/>
      <c r="G26" s="470"/>
      <c r="H26" s="470"/>
      <c r="I26" s="470"/>
      <c r="J26" s="286"/>
    </row>
    <row r="27" spans="1:10" ht="14.25" customHeight="1" x14ac:dyDescent="0.2">
      <c r="A27" s="462" t="s">
        <v>60</v>
      </c>
      <c r="B27" s="464" t="s">
        <v>61</v>
      </c>
      <c r="C27" s="464" t="s">
        <v>2</v>
      </c>
      <c r="D27" s="464" t="s">
        <v>62</v>
      </c>
      <c r="E27" s="464"/>
      <c r="F27" s="464"/>
      <c r="G27" s="468" t="s">
        <v>63</v>
      </c>
      <c r="H27" s="469"/>
      <c r="I27" s="464" t="s">
        <v>64</v>
      </c>
    </row>
    <row r="28" spans="1:10" ht="14.25" customHeight="1" x14ac:dyDescent="0.2">
      <c r="A28" s="462"/>
      <c r="B28" s="462"/>
      <c r="C28" s="462"/>
      <c r="D28" s="462" t="s">
        <v>65</v>
      </c>
      <c r="E28" s="462" t="s">
        <v>66</v>
      </c>
      <c r="F28" s="462" t="s">
        <v>67</v>
      </c>
      <c r="G28" s="463" t="s">
        <v>65</v>
      </c>
      <c r="H28" s="463" t="s">
        <v>68</v>
      </c>
      <c r="I28" s="462"/>
    </row>
    <row r="29" spans="1:10" ht="21.75" customHeight="1" x14ac:dyDescent="0.2">
      <c r="A29" s="462"/>
      <c r="B29" s="462"/>
      <c r="C29" s="462"/>
      <c r="D29" s="462"/>
      <c r="E29" s="462"/>
      <c r="F29" s="462"/>
      <c r="G29" s="464"/>
      <c r="H29" s="464"/>
      <c r="I29" s="462"/>
    </row>
    <row r="30" spans="1:10" s="97" customFormat="1" x14ac:dyDescent="0.2">
      <c r="A30" s="85">
        <v>1</v>
      </c>
      <c r="B30" s="81" t="s">
        <v>78</v>
      </c>
      <c r="C30" s="87">
        <v>250</v>
      </c>
      <c r="D30" s="88"/>
      <c r="E30" s="87"/>
      <c r="F30" s="88"/>
      <c r="G30" s="88">
        <v>1</v>
      </c>
      <c r="H30" s="88">
        <v>46</v>
      </c>
      <c r="I30" s="88">
        <f t="shared" ref="I30:I44" si="4">IF(AND(D30="",G30=""),"",IF(D30="",G30*H30,D30*(E30/1000)*F30+D30*G30*H30))</f>
        <v>46</v>
      </c>
      <c r="J30" s="287"/>
    </row>
    <row r="31" spans="1:10" s="84" customFormat="1" x14ac:dyDescent="0.2">
      <c r="A31" s="80">
        <v>2</v>
      </c>
      <c r="B31" s="81" t="s">
        <v>69</v>
      </c>
      <c r="C31" s="82">
        <v>250</v>
      </c>
      <c r="D31" s="83">
        <v>2</v>
      </c>
      <c r="E31" s="82">
        <v>1100</v>
      </c>
      <c r="F31" s="83">
        <v>45.4</v>
      </c>
      <c r="G31" s="83">
        <v>4</v>
      </c>
      <c r="H31" s="83">
        <v>14.5</v>
      </c>
      <c r="I31" s="83">
        <f t="shared" si="4"/>
        <v>215.88</v>
      </c>
      <c r="J31" s="287"/>
    </row>
    <row r="32" spans="1:10" s="84" customFormat="1" x14ac:dyDescent="0.2">
      <c r="A32" s="80">
        <v>4</v>
      </c>
      <c r="B32" s="81" t="s">
        <v>78</v>
      </c>
      <c r="C32" s="82">
        <v>300</v>
      </c>
      <c r="D32" s="83"/>
      <c r="E32" s="82"/>
      <c r="F32" s="83"/>
      <c r="G32" s="83">
        <v>2</v>
      </c>
      <c r="H32" s="83">
        <v>80</v>
      </c>
      <c r="I32" s="83">
        <f t="shared" si="4"/>
        <v>160</v>
      </c>
      <c r="J32" s="287"/>
    </row>
    <row r="33" spans="1:10" s="84" customFormat="1" x14ac:dyDescent="0.2">
      <c r="A33" s="80">
        <v>5</v>
      </c>
      <c r="B33" s="81" t="s">
        <v>72</v>
      </c>
      <c r="C33" s="82">
        <v>300</v>
      </c>
      <c r="D33" s="83">
        <v>2</v>
      </c>
      <c r="E33" s="82">
        <v>1100</v>
      </c>
      <c r="F33" s="83">
        <v>57.1</v>
      </c>
      <c r="G33" s="83">
        <v>2</v>
      </c>
      <c r="H33" s="83">
        <v>14.5</v>
      </c>
      <c r="I33" s="83">
        <f t="shared" si="4"/>
        <v>183.62</v>
      </c>
      <c r="J33" s="287"/>
    </row>
    <row r="34" spans="1:10" x14ac:dyDescent="0.2">
      <c r="A34" s="80">
        <v>8</v>
      </c>
      <c r="B34" s="81" t="s">
        <v>69</v>
      </c>
      <c r="C34" s="82">
        <v>80</v>
      </c>
      <c r="D34" s="83">
        <v>2</v>
      </c>
      <c r="E34" s="82">
        <v>2500</v>
      </c>
      <c r="F34" s="83">
        <v>13.9</v>
      </c>
      <c r="G34" s="83">
        <v>4</v>
      </c>
      <c r="H34" s="83">
        <v>14.5</v>
      </c>
      <c r="I34" s="83">
        <f t="shared" si="4"/>
        <v>185.5</v>
      </c>
    </row>
    <row r="35" spans="1:10" x14ac:dyDescent="0.2">
      <c r="A35" s="80">
        <v>9</v>
      </c>
      <c r="B35" s="81" t="s">
        <v>78</v>
      </c>
      <c r="C35" s="82">
        <v>80</v>
      </c>
      <c r="D35" s="83"/>
      <c r="E35" s="82"/>
      <c r="F35" s="83"/>
      <c r="G35" s="83">
        <v>5</v>
      </c>
      <c r="H35" s="83">
        <v>9.5</v>
      </c>
      <c r="I35" s="83">
        <f t="shared" ref="I35" si="5">IF(AND(D35="",G35=""),"",IF(D35="",G35*H35,D35*(E35/1000)*F35+D35*G35*H35))</f>
        <v>47.5</v>
      </c>
    </row>
    <row r="36" spans="1:10" s="98" customFormat="1" x14ac:dyDescent="0.2">
      <c r="A36" s="80">
        <v>10</v>
      </c>
      <c r="B36" s="81" t="s">
        <v>75</v>
      </c>
      <c r="C36" s="82">
        <v>80</v>
      </c>
      <c r="D36" s="83"/>
      <c r="E36" s="82"/>
      <c r="F36" s="83"/>
      <c r="G36" s="83">
        <v>2</v>
      </c>
      <c r="H36" s="83">
        <v>15</v>
      </c>
      <c r="I36" s="83">
        <f t="shared" si="4"/>
        <v>30</v>
      </c>
      <c r="J36" s="287"/>
    </row>
    <row r="37" spans="1:10" s="98" customFormat="1" x14ac:dyDescent="0.2">
      <c r="A37" s="80">
        <v>11</v>
      </c>
      <c r="B37" s="81" t="s">
        <v>374</v>
      </c>
      <c r="C37" s="82">
        <v>150</v>
      </c>
      <c r="D37" s="83"/>
      <c r="E37" s="82"/>
      <c r="F37" s="83"/>
      <c r="G37" s="83">
        <v>2</v>
      </c>
      <c r="H37" s="83">
        <v>17.7</v>
      </c>
      <c r="I37" s="83">
        <f t="shared" si="4"/>
        <v>35.4</v>
      </c>
      <c r="J37" s="287"/>
    </row>
    <row r="38" spans="1:10" s="98" customFormat="1" x14ac:dyDescent="0.2">
      <c r="A38" s="80" t="s">
        <v>376</v>
      </c>
      <c r="B38" s="81" t="s">
        <v>78</v>
      </c>
      <c r="C38" s="82">
        <v>150</v>
      </c>
      <c r="D38" s="83"/>
      <c r="E38" s="82"/>
      <c r="F38" s="83"/>
      <c r="G38" s="83">
        <v>2</v>
      </c>
      <c r="H38" s="83">
        <v>18</v>
      </c>
      <c r="I38" s="83">
        <f t="shared" si="4"/>
        <v>36</v>
      </c>
      <c r="J38" s="287"/>
    </row>
    <row r="39" spans="1:10" s="98" customFormat="1" x14ac:dyDescent="0.2">
      <c r="A39" s="80">
        <v>15</v>
      </c>
      <c r="B39" s="81" t="s">
        <v>79</v>
      </c>
      <c r="C39" s="82" t="s">
        <v>375</v>
      </c>
      <c r="D39" s="83"/>
      <c r="E39" s="82"/>
      <c r="F39" s="83"/>
      <c r="G39" s="83">
        <v>1</v>
      </c>
      <c r="H39" s="83">
        <v>8</v>
      </c>
      <c r="I39" s="83">
        <f t="shared" si="4"/>
        <v>8</v>
      </c>
      <c r="J39" s="287"/>
    </row>
    <row r="40" spans="1:10" s="98" customFormat="1" x14ac:dyDescent="0.2">
      <c r="A40" s="80">
        <v>16</v>
      </c>
      <c r="B40" s="81" t="s">
        <v>69</v>
      </c>
      <c r="C40" s="82">
        <v>80</v>
      </c>
      <c r="D40" s="83">
        <v>1</v>
      </c>
      <c r="E40" s="82">
        <v>5300</v>
      </c>
      <c r="F40" s="83">
        <v>13.9</v>
      </c>
      <c r="G40" s="83">
        <v>2</v>
      </c>
      <c r="H40" s="83">
        <v>14.5</v>
      </c>
      <c r="I40" s="83">
        <f t="shared" si="4"/>
        <v>102.67</v>
      </c>
      <c r="J40" s="287"/>
    </row>
    <row r="41" spans="1:10" s="98" customFormat="1" x14ac:dyDescent="0.2">
      <c r="A41" s="80">
        <v>18</v>
      </c>
      <c r="B41" s="81" t="s">
        <v>69</v>
      </c>
      <c r="C41" s="82">
        <v>80</v>
      </c>
      <c r="D41" s="83">
        <v>1</v>
      </c>
      <c r="E41" s="82">
        <v>1850</v>
      </c>
      <c r="F41" s="83">
        <v>13.9</v>
      </c>
      <c r="G41" s="83">
        <v>2</v>
      </c>
      <c r="H41" s="83">
        <v>14.5</v>
      </c>
      <c r="I41" s="83">
        <f t="shared" si="4"/>
        <v>54.715000000000003</v>
      </c>
      <c r="J41" s="287"/>
    </row>
    <row r="42" spans="1:10" s="98" customFormat="1" x14ac:dyDescent="0.2">
      <c r="A42" s="80">
        <v>19</v>
      </c>
      <c r="B42" s="81" t="s">
        <v>69</v>
      </c>
      <c r="C42" s="82">
        <v>80</v>
      </c>
      <c r="D42" s="83">
        <v>1</v>
      </c>
      <c r="E42" s="82">
        <v>3550</v>
      </c>
      <c r="F42" s="83">
        <v>13.9</v>
      </c>
      <c r="G42" s="83">
        <v>2</v>
      </c>
      <c r="H42" s="83">
        <v>14.5</v>
      </c>
      <c r="I42" s="83">
        <f t="shared" si="4"/>
        <v>78.344999999999999</v>
      </c>
      <c r="J42" s="287"/>
    </row>
    <row r="43" spans="1:10" s="98" customFormat="1" x14ac:dyDescent="0.2">
      <c r="A43" s="80">
        <v>44</v>
      </c>
      <c r="B43" s="81" t="s">
        <v>374</v>
      </c>
      <c r="C43" s="82">
        <v>250</v>
      </c>
      <c r="D43" s="83"/>
      <c r="E43" s="82"/>
      <c r="F43" s="83"/>
      <c r="G43" s="83">
        <v>3</v>
      </c>
      <c r="H43" s="83">
        <v>32</v>
      </c>
      <c r="I43" s="83">
        <f t="shared" si="4"/>
        <v>96</v>
      </c>
      <c r="J43" s="287"/>
    </row>
    <row r="44" spans="1:10" s="98" customFormat="1" x14ac:dyDescent="0.2">
      <c r="A44" s="80">
        <v>52</v>
      </c>
      <c r="B44" s="81" t="s">
        <v>374</v>
      </c>
      <c r="C44" s="82">
        <v>300</v>
      </c>
      <c r="D44" s="83"/>
      <c r="E44" s="82"/>
      <c r="F44" s="83"/>
      <c r="G44" s="83">
        <v>4</v>
      </c>
      <c r="H44" s="83">
        <v>41.8</v>
      </c>
      <c r="I44" s="83">
        <f t="shared" si="4"/>
        <v>167.2</v>
      </c>
      <c r="J44" s="287"/>
    </row>
    <row r="45" spans="1:10" s="78" customFormat="1" ht="18" customHeight="1" x14ac:dyDescent="0.2">
      <c r="A45" s="465" t="s">
        <v>76</v>
      </c>
      <c r="B45" s="466"/>
      <c r="C45" s="466"/>
      <c r="D45" s="466"/>
      <c r="E45" s="466"/>
      <c r="F45" s="466"/>
      <c r="G45" s="466"/>
      <c r="H45" s="466"/>
      <c r="I45" s="96">
        <f>SUM(I30:I44)*1.05</f>
        <v>1519.1714999999999</v>
      </c>
      <c r="J45" s="285" t="s">
        <v>42</v>
      </c>
    </row>
    <row r="46" spans="1:10" s="78" customFormat="1" ht="15" customHeight="1" x14ac:dyDescent="0.2">
      <c r="A46" s="461"/>
      <c r="B46" s="461"/>
      <c r="C46" s="461"/>
      <c r="D46" s="461"/>
      <c r="E46" s="461"/>
      <c r="F46" s="461"/>
      <c r="G46" s="461"/>
      <c r="H46" s="461"/>
      <c r="I46" s="461"/>
      <c r="J46" s="285"/>
    </row>
    <row r="47" spans="1:10" s="78" customFormat="1" ht="18" customHeight="1" x14ac:dyDescent="0.25">
      <c r="A47" s="470" t="s">
        <v>501</v>
      </c>
      <c r="B47" s="470"/>
      <c r="C47" s="470"/>
      <c r="D47" s="470"/>
      <c r="E47" s="470"/>
      <c r="F47" s="470"/>
      <c r="G47" s="470"/>
      <c r="H47" s="470"/>
      <c r="I47" s="470"/>
      <c r="J47" s="286"/>
    </row>
    <row r="48" spans="1:10" ht="14.25" customHeight="1" x14ac:dyDescent="0.2">
      <c r="A48" s="462" t="s">
        <v>60</v>
      </c>
      <c r="B48" s="464" t="s">
        <v>61</v>
      </c>
      <c r="C48" s="464" t="s">
        <v>2</v>
      </c>
      <c r="D48" s="464" t="s">
        <v>62</v>
      </c>
      <c r="E48" s="464"/>
      <c r="F48" s="464"/>
      <c r="G48" s="468" t="s">
        <v>63</v>
      </c>
      <c r="H48" s="469"/>
      <c r="I48" s="464" t="s">
        <v>64</v>
      </c>
    </row>
    <row r="49" spans="1:10" ht="14.25" customHeight="1" x14ac:dyDescent="0.2">
      <c r="A49" s="462"/>
      <c r="B49" s="462"/>
      <c r="C49" s="462"/>
      <c r="D49" s="462" t="s">
        <v>65</v>
      </c>
      <c r="E49" s="462" t="s">
        <v>66</v>
      </c>
      <c r="F49" s="462" t="s">
        <v>67</v>
      </c>
      <c r="G49" s="463" t="s">
        <v>65</v>
      </c>
      <c r="H49" s="463" t="s">
        <v>68</v>
      </c>
      <c r="I49" s="462"/>
    </row>
    <row r="50" spans="1:10" ht="21.75" customHeight="1" x14ac:dyDescent="0.2">
      <c r="A50" s="462"/>
      <c r="B50" s="462"/>
      <c r="C50" s="462"/>
      <c r="D50" s="462"/>
      <c r="E50" s="462"/>
      <c r="F50" s="462"/>
      <c r="G50" s="464"/>
      <c r="H50" s="464"/>
      <c r="I50" s="462"/>
    </row>
    <row r="51" spans="1:10" s="84" customFormat="1" x14ac:dyDescent="0.2">
      <c r="A51" s="80">
        <v>3</v>
      </c>
      <c r="B51" s="81" t="s">
        <v>69</v>
      </c>
      <c r="C51" s="82">
        <v>80</v>
      </c>
      <c r="D51" s="83">
        <v>2</v>
      </c>
      <c r="E51" s="82">
        <v>3350</v>
      </c>
      <c r="F51" s="83">
        <v>13.9</v>
      </c>
      <c r="G51" s="83">
        <v>2</v>
      </c>
      <c r="H51" s="83">
        <v>4</v>
      </c>
      <c r="I51" s="83">
        <f t="shared" ref="I51:I64" si="6">IF(AND(D51="",G51=""),"",IF(D51="",G51*H51,D51*(E51/1000)*F51+D51*G51*H51))</f>
        <v>109.13000000000001</v>
      </c>
      <c r="J51" s="287"/>
    </row>
    <row r="52" spans="1:10" s="97" customFormat="1" x14ac:dyDescent="0.2">
      <c r="A52" s="85">
        <v>4</v>
      </c>
      <c r="B52" s="86" t="s">
        <v>78</v>
      </c>
      <c r="C52" s="82">
        <v>80</v>
      </c>
      <c r="D52" s="88"/>
      <c r="E52" s="87"/>
      <c r="F52" s="88"/>
      <c r="G52" s="88">
        <v>3</v>
      </c>
      <c r="H52" s="88">
        <v>9.5</v>
      </c>
      <c r="I52" s="88">
        <f t="shared" si="6"/>
        <v>28.5</v>
      </c>
      <c r="J52" s="287"/>
    </row>
    <row r="53" spans="1:10" s="84" customFormat="1" x14ac:dyDescent="0.2">
      <c r="A53" s="80">
        <v>5</v>
      </c>
      <c r="B53" s="81" t="s">
        <v>69</v>
      </c>
      <c r="C53" s="82">
        <v>80</v>
      </c>
      <c r="D53" s="83">
        <v>2</v>
      </c>
      <c r="E53" s="82">
        <v>900</v>
      </c>
      <c r="F53" s="83">
        <v>13.9</v>
      </c>
      <c r="G53" s="83">
        <v>2</v>
      </c>
      <c r="H53" s="83">
        <v>4</v>
      </c>
      <c r="I53" s="83">
        <f t="shared" si="6"/>
        <v>41.019999999999996</v>
      </c>
      <c r="J53" s="287"/>
    </row>
    <row r="54" spans="1:10" x14ac:dyDescent="0.2">
      <c r="A54" s="80">
        <v>7</v>
      </c>
      <c r="B54" s="86" t="s">
        <v>75</v>
      </c>
      <c r="C54" s="82">
        <v>80</v>
      </c>
      <c r="D54" s="83"/>
      <c r="E54" s="82"/>
      <c r="F54" s="83"/>
      <c r="G54" s="83">
        <v>3</v>
      </c>
      <c r="H54" s="83">
        <v>11.5</v>
      </c>
      <c r="I54" s="83">
        <f t="shared" si="6"/>
        <v>34.5</v>
      </c>
    </row>
    <row r="55" spans="1:10" x14ac:dyDescent="0.2">
      <c r="A55" s="80">
        <v>8</v>
      </c>
      <c r="B55" s="81" t="s">
        <v>499</v>
      </c>
      <c r="C55" s="82">
        <v>80</v>
      </c>
      <c r="D55" s="83"/>
      <c r="E55" s="82"/>
      <c r="F55" s="83"/>
      <c r="G55" s="83">
        <v>2</v>
      </c>
      <c r="H55" s="83">
        <v>16</v>
      </c>
      <c r="I55" s="83">
        <f t="shared" si="6"/>
        <v>32</v>
      </c>
    </row>
    <row r="56" spans="1:10" s="99" customFormat="1" x14ac:dyDescent="0.2">
      <c r="A56" s="85">
        <v>9</v>
      </c>
      <c r="B56" s="86" t="s">
        <v>80</v>
      </c>
      <c r="C56" s="82">
        <v>80</v>
      </c>
      <c r="D56" s="88"/>
      <c r="E56" s="87"/>
      <c r="F56" s="88"/>
      <c r="G56" s="83">
        <v>1</v>
      </c>
      <c r="H56" s="88">
        <v>3.6</v>
      </c>
      <c r="I56" s="88">
        <f t="shared" si="6"/>
        <v>3.6</v>
      </c>
      <c r="J56" s="287"/>
    </row>
    <row r="57" spans="1:10" s="98" customFormat="1" x14ac:dyDescent="0.2">
      <c r="A57" s="80">
        <v>10</v>
      </c>
      <c r="B57" s="81" t="s">
        <v>70</v>
      </c>
      <c r="C57" s="82">
        <v>80</v>
      </c>
      <c r="D57" s="83"/>
      <c r="E57" s="82"/>
      <c r="F57" s="83"/>
      <c r="G57" s="83">
        <v>3</v>
      </c>
      <c r="H57" s="83">
        <v>15.3</v>
      </c>
      <c r="I57" s="83">
        <f t="shared" si="6"/>
        <v>45.900000000000006</v>
      </c>
      <c r="J57" s="287"/>
    </row>
    <row r="58" spans="1:10" s="98" customFormat="1" x14ac:dyDescent="0.2">
      <c r="A58" s="80">
        <v>11</v>
      </c>
      <c r="B58" s="81" t="s">
        <v>69</v>
      </c>
      <c r="C58" s="82">
        <v>80</v>
      </c>
      <c r="D58" s="83">
        <v>1</v>
      </c>
      <c r="E58" s="82">
        <v>1210</v>
      </c>
      <c r="F58" s="83">
        <v>13.9</v>
      </c>
      <c r="G58" s="83">
        <v>2</v>
      </c>
      <c r="H58" s="83">
        <v>4</v>
      </c>
      <c r="I58" s="83">
        <f t="shared" si="6"/>
        <v>24.818999999999999</v>
      </c>
      <c r="J58" s="287"/>
    </row>
    <row r="59" spans="1:10" s="98" customFormat="1" x14ac:dyDescent="0.2">
      <c r="A59" s="80">
        <v>12</v>
      </c>
      <c r="B59" s="81" t="s">
        <v>73</v>
      </c>
      <c r="C59" s="82">
        <v>80</v>
      </c>
      <c r="D59" s="83"/>
      <c r="E59" s="82"/>
      <c r="F59" s="83"/>
      <c r="G59" s="83">
        <v>1</v>
      </c>
      <c r="H59" s="83">
        <v>16</v>
      </c>
      <c r="I59" s="83">
        <f t="shared" si="6"/>
        <v>16</v>
      </c>
      <c r="J59" s="287"/>
    </row>
    <row r="60" spans="1:10" s="98" customFormat="1" x14ac:dyDescent="0.2">
      <c r="A60" s="80">
        <v>13</v>
      </c>
      <c r="B60" s="81" t="s">
        <v>72</v>
      </c>
      <c r="C60" s="82">
        <v>80</v>
      </c>
      <c r="D60" s="83">
        <v>1</v>
      </c>
      <c r="E60" s="82">
        <v>750</v>
      </c>
      <c r="F60" s="83">
        <v>13.9</v>
      </c>
      <c r="G60" s="83">
        <v>1</v>
      </c>
      <c r="H60" s="83">
        <v>4</v>
      </c>
      <c r="I60" s="83">
        <f t="shared" si="6"/>
        <v>14.425000000000001</v>
      </c>
      <c r="J60" s="287"/>
    </row>
    <row r="61" spans="1:10" s="98" customFormat="1" x14ac:dyDescent="0.2">
      <c r="A61" s="80">
        <v>21</v>
      </c>
      <c r="B61" s="81" t="s">
        <v>374</v>
      </c>
      <c r="C61" s="82">
        <v>350</v>
      </c>
      <c r="D61" s="83"/>
      <c r="E61" s="82"/>
      <c r="F61" s="83"/>
      <c r="G61" s="83">
        <v>1</v>
      </c>
      <c r="H61" s="83">
        <v>52</v>
      </c>
      <c r="I61" s="83">
        <f t="shared" si="6"/>
        <v>52</v>
      </c>
      <c r="J61" s="287"/>
    </row>
    <row r="62" spans="1:10" s="98" customFormat="1" x14ac:dyDescent="0.2">
      <c r="A62" s="176">
        <v>13</v>
      </c>
      <c r="B62" s="81" t="s">
        <v>72</v>
      </c>
      <c r="C62" s="82">
        <v>80</v>
      </c>
      <c r="D62" s="83">
        <v>1</v>
      </c>
      <c r="E62" s="82">
        <v>3600</v>
      </c>
      <c r="F62" s="83">
        <v>13.9</v>
      </c>
      <c r="G62" s="83">
        <v>1</v>
      </c>
      <c r="H62" s="177">
        <v>4</v>
      </c>
      <c r="I62" s="83">
        <f t="shared" si="6"/>
        <v>54.04</v>
      </c>
      <c r="J62" s="287"/>
    </row>
    <row r="63" spans="1:10" s="98" customFormat="1" x14ac:dyDescent="0.2">
      <c r="A63" s="176">
        <v>14</v>
      </c>
      <c r="B63" s="81" t="s">
        <v>69</v>
      </c>
      <c r="C63" s="82">
        <v>80</v>
      </c>
      <c r="D63" s="83">
        <v>1</v>
      </c>
      <c r="E63" s="82">
        <v>3600</v>
      </c>
      <c r="F63" s="83">
        <v>13.9</v>
      </c>
      <c r="G63" s="83">
        <v>2</v>
      </c>
      <c r="H63" s="177">
        <v>4</v>
      </c>
      <c r="I63" s="83">
        <f t="shared" si="6"/>
        <v>58.04</v>
      </c>
      <c r="J63" s="287"/>
    </row>
    <row r="64" spans="1:10" s="98" customFormat="1" x14ac:dyDescent="0.2">
      <c r="A64" s="176">
        <v>15</v>
      </c>
      <c r="B64" s="86" t="s">
        <v>78</v>
      </c>
      <c r="C64" s="82">
        <v>80</v>
      </c>
      <c r="D64" s="83"/>
      <c r="E64" s="82"/>
      <c r="F64" s="83"/>
      <c r="G64" s="83">
        <v>2</v>
      </c>
      <c r="H64" s="88">
        <v>9.5</v>
      </c>
      <c r="I64" s="83">
        <f t="shared" si="6"/>
        <v>19</v>
      </c>
      <c r="J64" s="287"/>
    </row>
    <row r="65" spans="1:10" s="78" customFormat="1" ht="18" customHeight="1" x14ac:dyDescent="0.2">
      <c r="A65" s="465" t="s">
        <v>76</v>
      </c>
      <c r="B65" s="466"/>
      <c r="C65" s="466"/>
      <c r="D65" s="466"/>
      <c r="E65" s="466"/>
      <c r="F65" s="466"/>
      <c r="G65" s="466"/>
      <c r="H65" s="466"/>
      <c r="I65" s="96">
        <f>SUM(I51:I64)*1.05</f>
        <v>559.62270000000012</v>
      </c>
      <c r="J65" s="285" t="s">
        <v>42</v>
      </c>
    </row>
    <row r="66" spans="1:10" s="78" customFormat="1" ht="15" customHeight="1" x14ac:dyDescent="0.2">
      <c r="A66" s="461"/>
      <c r="B66" s="461"/>
      <c r="C66" s="461"/>
      <c r="D66" s="461"/>
      <c r="E66" s="461"/>
      <c r="F66" s="461"/>
      <c r="G66" s="461"/>
      <c r="H66" s="461"/>
      <c r="I66" s="461"/>
      <c r="J66" s="285"/>
    </row>
    <row r="67" spans="1:10" ht="26.25" customHeight="1" x14ac:dyDescent="0.2">
      <c r="A67" s="467" t="s">
        <v>636</v>
      </c>
      <c r="B67" s="467"/>
      <c r="C67" s="467"/>
      <c r="D67" s="467"/>
      <c r="E67" s="467"/>
      <c r="F67" s="467"/>
      <c r="G67" s="467"/>
      <c r="H67" s="467"/>
      <c r="I67" s="467"/>
    </row>
    <row r="68" spans="1:10" x14ac:dyDescent="0.2">
      <c r="A68" s="462" t="s">
        <v>60</v>
      </c>
      <c r="B68" s="464" t="s">
        <v>61</v>
      </c>
      <c r="C68" s="464" t="s">
        <v>2</v>
      </c>
      <c r="D68" s="464" t="s">
        <v>62</v>
      </c>
      <c r="E68" s="464"/>
      <c r="F68" s="464"/>
      <c r="G68" s="468" t="s">
        <v>63</v>
      </c>
      <c r="H68" s="469"/>
      <c r="I68" s="464" t="s">
        <v>64</v>
      </c>
    </row>
    <row r="69" spans="1:10" x14ac:dyDescent="0.2">
      <c r="A69" s="462"/>
      <c r="B69" s="462"/>
      <c r="C69" s="462"/>
      <c r="D69" s="462" t="s">
        <v>65</v>
      </c>
      <c r="E69" s="462" t="s">
        <v>66</v>
      </c>
      <c r="F69" s="462" t="s">
        <v>67</v>
      </c>
      <c r="G69" s="463" t="s">
        <v>65</v>
      </c>
      <c r="H69" s="463" t="s">
        <v>68</v>
      </c>
      <c r="I69" s="462"/>
    </row>
    <row r="70" spans="1:10" x14ac:dyDescent="0.2">
      <c r="A70" s="462"/>
      <c r="B70" s="462"/>
      <c r="C70" s="462"/>
      <c r="D70" s="462"/>
      <c r="E70" s="462"/>
      <c r="F70" s="462"/>
      <c r="G70" s="464"/>
      <c r="H70" s="464"/>
      <c r="I70" s="462"/>
    </row>
    <row r="71" spans="1:10" x14ac:dyDescent="0.2">
      <c r="A71" s="80" t="s">
        <v>629</v>
      </c>
      <c r="B71" s="81" t="s">
        <v>70</v>
      </c>
      <c r="C71" s="82">
        <v>500</v>
      </c>
      <c r="D71" s="83"/>
      <c r="E71" s="82"/>
      <c r="F71" s="83"/>
      <c r="G71" s="83">
        <v>2</v>
      </c>
      <c r="H71" s="83">
        <v>243</v>
      </c>
      <c r="I71" s="83">
        <f t="shared" ref="I71:I77" si="7">IF(AND(D71="",G71=""),"",IF(D71="",G71*H71,D71*(E71/1000)*F71+D71*G71*H71))</f>
        <v>486</v>
      </c>
    </row>
    <row r="72" spans="1:10" x14ac:dyDescent="0.2">
      <c r="A72" s="80" t="s">
        <v>630</v>
      </c>
      <c r="B72" s="81" t="s">
        <v>80</v>
      </c>
      <c r="C72" s="82">
        <v>500</v>
      </c>
      <c r="D72" s="83"/>
      <c r="E72" s="82"/>
      <c r="F72" s="83"/>
      <c r="G72" s="83">
        <v>1</v>
      </c>
      <c r="H72" s="83">
        <v>56</v>
      </c>
      <c r="I72" s="83">
        <f t="shared" si="7"/>
        <v>56</v>
      </c>
    </row>
    <row r="73" spans="1:10" x14ac:dyDescent="0.2">
      <c r="A73" s="85" t="s">
        <v>631</v>
      </c>
      <c r="B73" s="86" t="s">
        <v>78</v>
      </c>
      <c r="C73" s="87">
        <v>500</v>
      </c>
      <c r="D73" s="88"/>
      <c r="E73" s="87"/>
      <c r="F73" s="88"/>
      <c r="G73" s="88">
        <v>4</v>
      </c>
      <c r="H73" s="83">
        <v>174</v>
      </c>
      <c r="I73" s="88">
        <f t="shared" si="7"/>
        <v>696</v>
      </c>
    </row>
    <row r="74" spans="1:10" x14ac:dyDescent="0.2">
      <c r="A74" s="80" t="s">
        <v>632</v>
      </c>
      <c r="B74" s="81" t="s">
        <v>75</v>
      </c>
      <c r="C74" s="82">
        <v>500</v>
      </c>
      <c r="D74" s="83"/>
      <c r="E74" s="82"/>
      <c r="F74" s="83"/>
      <c r="G74" s="83">
        <v>1</v>
      </c>
      <c r="H74" s="83">
        <v>156</v>
      </c>
      <c r="I74" s="83">
        <f t="shared" si="7"/>
        <v>156</v>
      </c>
    </row>
    <row r="75" spans="1:10" x14ac:dyDescent="0.2">
      <c r="A75" s="80" t="s">
        <v>633</v>
      </c>
      <c r="B75" s="81" t="s">
        <v>72</v>
      </c>
      <c r="C75" s="82">
        <v>500</v>
      </c>
      <c r="D75" s="83">
        <v>2</v>
      </c>
      <c r="E75" s="82">
        <v>4800</v>
      </c>
      <c r="F75" s="83">
        <v>121.8</v>
      </c>
      <c r="G75" s="83">
        <v>1</v>
      </c>
      <c r="H75" s="83">
        <v>38</v>
      </c>
      <c r="I75" s="83">
        <f t="shared" si="7"/>
        <v>1245.28</v>
      </c>
    </row>
    <row r="76" spans="1:10" x14ac:dyDescent="0.2">
      <c r="A76" s="80" t="s">
        <v>634</v>
      </c>
      <c r="B76" s="81" t="s">
        <v>69</v>
      </c>
      <c r="C76" s="82">
        <v>500</v>
      </c>
      <c r="D76" s="83">
        <v>5</v>
      </c>
      <c r="E76" s="82">
        <v>5800</v>
      </c>
      <c r="F76" s="83">
        <v>121.8</v>
      </c>
      <c r="G76" s="83">
        <v>2</v>
      </c>
      <c r="H76" s="83">
        <v>38</v>
      </c>
      <c r="I76" s="83">
        <f t="shared" si="7"/>
        <v>3912.2</v>
      </c>
    </row>
    <row r="77" spans="1:10" x14ac:dyDescent="0.2">
      <c r="A77" s="80" t="s">
        <v>635</v>
      </c>
      <c r="B77" s="81" t="s">
        <v>69</v>
      </c>
      <c r="C77" s="82">
        <v>500</v>
      </c>
      <c r="D77" s="83">
        <v>1</v>
      </c>
      <c r="E77" s="82">
        <v>2150</v>
      </c>
      <c r="F77" s="83">
        <v>121.8</v>
      </c>
      <c r="G77" s="83">
        <v>2</v>
      </c>
      <c r="H77" s="83">
        <v>38</v>
      </c>
      <c r="I77" s="83">
        <f t="shared" si="7"/>
        <v>337.87</v>
      </c>
    </row>
    <row r="78" spans="1:10" x14ac:dyDescent="0.2">
      <c r="A78" s="465" t="s">
        <v>76</v>
      </c>
      <c r="B78" s="466"/>
      <c r="C78" s="466"/>
      <c r="D78" s="466"/>
      <c r="E78" s="466"/>
      <c r="F78" s="466"/>
      <c r="G78" s="466"/>
      <c r="H78" s="466"/>
      <c r="I78" s="96">
        <f>SUM(I71:I77)*1.05</f>
        <v>7233.8175000000001</v>
      </c>
      <c r="J78" s="287" t="s">
        <v>42</v>
      </c>
    </row>
    <row r="79" spans="1:10" x14ac:dyDescent="0.2">
      <c r="A79" s="461"/>
      <c r="B79" s="461"/>
      <c r="C79" s="461"/>
      <c r="D79" s="461"/>
      <c r="E79" s="461"/>
      <c r="F79" s="461"/>
      <c r="G79" s="461"/>
      <c r="H79" s="461"/>
      <c r="I79" s="461"/>
    </row>
  </sheetData>
  <mergeCells count="73">
    <mergeCell ref="A16:H16"/>
    <mergeCell ref="A2:C2"/>
    <mergeCell ref="D2:H2"/>
    <mergeCell ref="A3:I3"/>
    <mergeCell ref="A4:I4"/>
    <mergeCell ref="A5:A7"/>
    <mergeCell ref="B5:B7"/>
    <mergeCell ref="C5:C7"/>
    <mergeCell ref="D5:F5"/>
    <mergeCell ref="G5:H5"/>
    <mergeCell ref="I5:I7"/>
    <mergeCell ref="D6:D7"/>
    <mergeCell ref="E6:E7"/>
    <mergeCell ref="F6:F7"/>
    <mergeCell ref="G6:G7"/>
    <mergeCell ref="H6:H7"/>
    <mergeCell ref="A17:I17"/>
    <mergeCell ref="A18:I18"/>
    <mergeCell ref="A19:A21"/>
    <mergeCell ref="B19:B21"/>
    <mergeCell ref="C19:C21"/>
    <mergeCell ref="D19:F19"/>
    <mergeCell ref="G19:H19"/>
    <mergeCell ref="I19:I21"/>
    <mergeCell ref="D20:D21"/>
    <mergeCell ref="E20:E21"/>
    <mergeCell ref="F20:F21"/>
    <mergeCell ref="G20:G21"/>
    <mergeCell ref="H20:H21"/>
    <mergeCell ref="A24:H24"/>
    <mergeCell ref="A25:I25"/>
    <mergeCell ref="A45:H45"/>
    <mergeCell ref="A26:I26"/>
    <mergeCell ref="A27:A29"/>
    <mergeCell ref="B27:B29"/>
    <mergeCell ref="C27:C29"/>
    <mergeCell ref="D27:F27"/>
    <mergeCell ref="G27:H27"/>
    <mergeCell ref="I27:I29"/>
    <mergeCell ref="D28:D29"/>
    <mergeCell ref="E28:E29"/>
    <mergeCell ref="F28:F29"/>
    <mergeCell ref="G28:G29"/>
    <mergeCell ref="H28:H29"/>
    <mergeCell ref="A46:I46"/>
    <mergeCell ref="A47:I47"/>
    <mergeCell ref="A48:A50"/>
    <mergeCell ref="B48:B50"/>
    <mergeCell ref="C48:C50"/>
    <mergeCell ref="D48:F48"/>
    <mergeCell ref="G48:H48"/>
    <mergeCell ref="I48:I50"/>
    <mergeCell ref="D49:D50"/>
    <mergeCell ref="E49:E50"/>
    <mergeCell ref="F49:F50"/>
    <mergeCell ref="G49:G50"/>
    <mergeCell ref="H49:H50"/>
    <mergeCell ref="A65:H65"/>
    <mergeCell ref="A66:I66"/>
    <mergeCell ref="A67:I67"/>
    <mergeCell ref="A68:A70"/>
    <mergeCell ref="B68:B70"/>
    <mergeCell ref="C68:C70"/>
    <mergeCell ref="D68:F68"/>
    <mergeCell ref="G68:H68"/>
    <mergeCell ref="I68:I70"/>
    <mergeCell ref="A79:I79"/>
    <mergeCell ref="D69:D70"/>
    <mergeCell ref="E69:E70"/>
    <mergeCell ref="F69:F70"/>
    <mergeCell ref="G69:G70"/>
    <mergeCell ref="H69:H70"/>
    <mergeCell ref="A78:H78"/>
  </mergeCells>
  <phoneticPr fontId="29" type="noConversion"/>
  <printOptions horizontalCentered="1"/>
  <pageMargins left="0.98425196850393704" right="0.78740157480314965" top="0.98425196850393704" bottom="0.78740157480314965" header="0.31496062992125984" footer="0.31496062992125984"/>
  <pageSetup paperSize="9" scale="75" orientation="portrait" verticalDpi="4294967294" r:id="rId1"/>
  <headerFooter>
    <oddHeader>&amp;L&amp;G&amp;R&amp;G</oddHeader>
    <oddFooter>Página &amp;P de &amp;N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D67725-7DD7-4D45-9157-C847858094F0}">
  <sheetPr codeName="Planilha2"/>
  <dimension ref="A1:AM44"/>
  <sheetViews>
    <sheetView zoomScaleNormal="100" workbookViewId="0">
      <pane ySplit="4" topLeftCell="A5" activePane="bottomLeft" state="frozen"/>
      <selection activeCell="A3" sqref="A3:K3"/>
      <selection pane="bottomLeft"/>
    </sheetView>
  </sheetViews>
  <sheetFormatPr defaultRowHeight="12.75" x14ac:dyDescent="0.2"/>
  <cols>
    <col min="1" max="1" width="3" style="170" customWidth="1"/>
    <col min="2" max="2" width="8.7109375" style="170" customWidth="1"/>
    <col min="3" max="3" width="4.7109375" style="170" customWidth="1"/>
    <col min="4" max="4" width="8.7109375" style="170" customWidth="1"/>
    <col min="5" max="5" width="4.7109375" style="170" customWidth="1"/>
    <col min="6" max="6" width="8.7109375" style="170" customWidth="1"/>
    <col min="7" max="7" width="8.7109375" style="173" customWidth="1"/>
    <col min="8" max="8" width="6.7109375" style="173" customWidth="1"/>
    <col min="9" max="9" width="6.7109375" style="170" customWidth="1"/>
    <col min="10" max="10" width="8.7109375" style="170" customWidth="1"/>
    <col min="11" max="11" width="5.7109375" style="170" customWidth="1"/>
    <col min="12" max="12" width="8.7109375" style="170" customWidth="1"/>
    <col min="13" max="13" width="8.7109375" style="2" customWidth="1"/>
    <col min="14" max="14" width="5.7109375" style="170" customWidth="1"/>
    <col min="15" max="19" width="10.7109375" style="170" hidden="1" customWidth="1"/>
    <col min="20" max="22" width="10.7109375" style="170" customWidth="1"/>
    <col min="23" max="24" width="9.7109375" style="170" customWidth="1"/>
    <col min="25" max="27" width="9.7109375" style="170" hidden="1" customWidth="1"/>
    <col min="28" max="29" width="9.7109375" style="170" customWidth="1"/>
    <col min="30" max="33" width="9.7109375" style="170" hidden="1" customWidth="1"/>
    <col min="34" max="36" width="9.7109375" style="170" customWidth="1"/>
    <col min="37" max="38" width="9.7109375" style="170" hidden="1" customWidth="1"/>
    <col min="39" max="16384" width="9.140625" style="170"/>
  </cols>
  <sheetData>
    <row r="1" spans="1:39" x14ac:dyDescent="0.2">
      <c r="B1" s="172"/>
      <c r="C1" s="172"/>
      <c r="D1" s="172"/>
      <c r="E1" s="172"/>
      <c r="F1" s="172"/>
      <c r="G1" s="1"/>
      <c r="H1" s="1"/>
      <c r="I1" s="172"/>
    </row>
    <row r="2" spans="1:39" s="3" customFormat="1" ht="15" customHeight="1" x14ac:dyDescent="0.25">
      <c r="B2" s="338" t="s">
        <v>14</v>
      </c>
      <c r="C2" s="339"/>
      <c r="D2" s="339"/>
      <c r="E2" s="339"/>
      <c r="F2" s="339"/>
      <c r="G2" s="339"/>
      <c r="H2" s="339"/>
      <c r="I2" s="339"/>
      <c r="J2" s="340" t="s">
        <v>538</v>
      </c>
      <c r="K2" s="341"/>
      <c r="L2" s="341"/>
      <c r="M2" s="341"/>
      <c r="N2" s="341"/>
      <c r="O2" s="341"/>
      <c r="P2" s="341"/>
      <c r="Q2" s="341"/>
      <c r="R2" s="341"/>
      <c r="S2" s="341"/>
      <c r="T2" s="341"/>
      <c r="U2" s="341"/>
      <c r="V2" s="341"/>
      <c r="W2" s="341"/>
      <c r="X2" s="341"/>
      <c r="Y2" s="341"/>
      <c r="Z2" s="341"/>
      <c r="AA2" s="341"/>
      <c r="AB2" s="341"/>
      <c r="AC2" s="341"/>
      <c r="AD2" s="341"/>
      <c r="AE2" s="341"/>
      <c r="AF2" s="341"/>
      <c r="AG2" s="341"/>
      <c r="AH2" s="341"/>
      <c r="AI2" s="341"/>
      <c r="AJ2" s="341"/>
      <c r="AK2" s="341"/>
      <c r="AL2" s="342"/>
      <c r="AM2" s="4"/>
    </row>
    <row r="3" spans="1:39" ht="12.75" customHeight="1" x14ac:dyDescent="0.2">
      <c r="B3" s="343" t="s">
        <v>15</v>
      </c>
      <c r="C3" s="344" t="s">
        <v>16</v>
      </c>
      <c r="D3" s="344"/>
      <c r="E3" s="344"/>
      <c r="F3" s="344"/>
      <c r="G3" s="343" t="s">
        <v>17</v>
      </c>
      <c r="H3" s="343" t="s">
        <v>0</v>
      </c>
      <c r="I3" s="343"/>
      <c r="J3" s="334" t="s">
        <v>1</v>
      </c>
      <c r="K3" s="345" t="s">
        <v>2</v>
      </c>
      <c r="L3" s="334" t="s">
        <v>534</v>
      </c>
      <c r="M3" s="346" t="s">
        <v>18</v>
      </c>
      <c r="N3" s="332" t="s">
        <v>3</v>
      </c>
      <c r="O3" s="332" t="s">
        <v>19</v>
      </c>
      <c r="P3" s="335" t="s">
        <v>20</v>
      </c>
      <c r="Q3" s="336"/>
      <c r="R3" s="336"/>
      <c r="S3" s="337"/>
      <c r="T3" s="332" t="s">
        <v>21</v>
      </c>
      <c r="U3" s="332" t="s">
        <v>12</v>
      </c>
      <c r="V3" s="332" t="s">
        <v>13</v>
      </c>
      <c r="W3" s="329" t="s">
        <v>22</v>
      </c>
      <c r="X3" s="330"/>
      <c r="Y3" s="330"/>
      <c r="Z3" s="330"/>
      <c r="AA3" s="330"/>
      <c r="AB3" s="329" t="s">
        <v>23</v>
      </c>
      <c r="AC3" s="330"/>
      <c r="AD3" s="330"/>
      <c r="AE3" s="330"/>
      <c r="AF3" s="330"/>
      <c r="AG3" s="330"/>
      <c r="AH3" s="331"/>
      <c r="AI3" s="332" t="s">
        <v>24</v>
      </c>
      <c r="AJ3" s="334" t="s">
        <v>4</v>
      </c>
      <c r="AK3" s="334" t="s">
        <v>25</v>
      </c>
      <c r="AL3" s="334" t="s">
        <v>26</v>
      </c>
      <c r="AM3" s="5"/>
    </row>
    <row r="4" spans="1:39" ht="25.5" customHeight="1" x14ac:dyDescent="0.2">
      <c r="B4" s="343"/>
      <c r="C4" s="320" t="s">
        <v>5</v>
      </c>
      <c r="D4" s="321"/>
      <c r="E4" s="320" t="s">
        <v>6</v>
      </c>
      <c r="F4" s="321"/>
      <c r="G4" s="343"/>
      <c r="H4" s="175" t="s">
        <v>5</v>
      </c>
      <c r="I4" s="175" t="s">
        <v>6</v>
      </c>
      <c r="J4" s="334"/>
      <c r="K4" s="345"/>
      <c r="L4" s="334"/>
      <c r="M4" s="346"/>
      <c r="N4" s="333"/>
      <c r="O4" s="333"/>
      <c r="P4" s="174" t="s">
        <v>7</v>
      </c>
      <c r="Q4" s="174" t="s">
        <v>27</v>
      </c>
      <c r="R4" s="174" t="s">
        <v>10</v>
      </c>
      <c r="S4" s="174" t="s">
        <v>8</v>
      </c>
      <c r="T4" s="333"/>
      <c r="U4" s="333"/>
      <c r="V4" s="333"/>
      <c r="W4" s="6" t="s">
        <v>166</v>
      </c>
      <c r="X4" s="6" t="s">
        <v>167</v>
      </c>
      <c r="Y4" s="6" t="s">
        <v>168</v>
      </c>
      <c r="Z4" s="6" t="s">
        <v>169</v>
      </c>
      <c r="AA4" s="6" t="s">
        <v>28</v>
      </c>
      <c r="AB4" s="6" t="s">
        <v>166</v>
      </c>
      <c r="AC4" s="6" t="s">
        <v>167</v>
      </c>
      <c r="AD4" s="6" t="s">
        <v>168</v>
      </c>
      <c r="AE4" s="6" t="s">
        <v>169</v>
      </c>
      <c r="AF4" s="6" t="s">
        <v>191</v>
      </c>
      <c r="AG4" s="6" t="s">
        <v>192</v>
      </c>
      <c r="AH4" s="6" t="s">
        <v>11</v>
      </c>
      <c r="AI4" s="333"/>
      <c r="AJ4" s="334"/>
      <c r="AK4" s="334"/>
      <c r="AL4" s="334"/>
      <c r="AM4" s="7"/>
    </row>
    <row r="5" spans="1:39" s="18" customFormat="1" x14ac:dyDescent="0.2">
      <c r="A5" s="170"/>
      <c r="B5" s="8" t="s">
        <v>504</v>
      </c>
      <c r="C5" s="10" t="s">
        <v>131</v>
      </c>
      <c r="D5" s="9" t="s">
        <v>132</v>
      </c>
      <c r="E5" s="10" t="s">
        <v>131</v>
      </c>
      <c r="F5" s="9" t="s">
        <v>505</v>
      </c>
      <c r="G5" s="11">
        <v>4.75</v>
      </c>
      <c r="H5" s="12">
        <v>0.7</v>
      </c>
      <c r="I5" s="12">
        <v>0.7</v>
      </c>
      <c r="J5" s="13">
        <f t="shared" ref="J5:J28" si="0">IF(B5="","",(H5+I5)/2)</f>
        <v>0.7</v>
      </c>
      <c r="K5" s="14">
        <v>80</v>
      </c>
      <c r="L5" s="15">
        <f>IF($K5="","",IF($K5=80,$G5,""))</f>
        <v>4.75</v>
      </c>
      <c r="M5" s="16">
        <v>0.65</v>
      </c>
      <c r="N5" s="14" t="s">
        <v>134</v>
      </c>
      <c r="O5" s="17"/>
      <c r="P5" s="13">
        <f t="shared" ref="P5:P28" si="1">IF(N5="A",(G5*(M5+0.1)),0)</f>
        <v>0</v>
      </c>
      <c r="Q5" s="13">
        <f t="shared" ref="Q5:Q28" si="2">IF(N5="B",(G5*(M5+0.3)),0)</f>
        <v>0</v>
      </c>
      <c r="R5" s="13">
        <f t="shared" ref="R5:R28" si="3">IF(N5="PC",(G5*(M5+0.15)),0)</f>
        <v>0</v>
      </c>
      <c r="S5" s="13">
        <f t="shared" ref="S5:S28" si="4">IF(N5="C",(G5*M5),0)</f>
        <v>0</v>
      </c>
      <c r="T5" s="13">
        <f t="shared" ref="T5:T28" si="5">IF(B5="","",(G5*J5*M5)*1.05)</f>
        <v>2.2693124999999998</v>
      </c>
      <c r="U5" s="13">
        <f>T5*0.05</f>
        <v>0.113465625</v>
      </c>
      <c r="V5" s="13">
        <f>T5*0.95</f>
        <v>2.1558468749999999</v>
      </c>
      <c r="W5" s="13">
        <f t="shared" ref="W5:W28" si="6">IF($J5&lt;=1.5,U5*0.95,0)</f>
        <v>0.10779234374999999</v>
      </c>
      <c r="X5" s="13">
        <f t="shared" ref="X5:X28" si="7">IF($J5&lt;=1.5,U5*0.05,0)</f>
        <v>5.6732812500000004E-3</v>
      </c>
      <c r="Y5" s="13">
        <f t="shared" ref="Y5:Y25" si="8">IF(AND($J5&lt;=3,$J5&gt;1.5),U5*0.5,0)</f>
        <v>0</v>
      </c>
      <c r="Z5" s="13">
        <f t="shared" ref="Z5:Z26" si="9">IF(AND($J5&lt;=3,$J5&gt;1.5),U5*0.5,0)</f>
        <v>0</v>
      </c>
      <c r="AA5" s="13">
        <f t="shared" ref="AA5:AA28" si="10">IF(AND($J5&lt;=4.5,$J5&gt;3),U5*0.95,0)</f>
        <v>0</v>
      </c>
      <c r="AB5" s="13">
        <f>IF($J5&lt;=1.5,V5*0.94,0)</f>
        <v>2.0264960624999997</v>
      </c>
      <c r="AC5" s="13">
        <f>IF($J5&lt;=1.5,V5*0.05,0)</f>
        <v>0.10779234375000001</v>
      </c>
      <c r="AD5" s="13">
        <f>IF(AND($J5&gt;1.5,$J5&lt;=3),V5*0.47,0)</f>
        <v>0</v>
      </c>
      <c r="AE5" s="13">
        <f>IF(AND($J5&gt;1.5,$J5&lt;=3),V5*0.5,0)</f>
        <v>0</v>
      </c>
      <c r="AF5" s="13">
        <f>IF(AND($J5&gt;3,$J5&lt;=4.5),V5*0.47,0)</f>
        <v>0</v>
      </c>
      <c r="AG5" s="13">
        <f>IF(AND($J5&gt;3,$J5&lt;=4.5),V5*0.5,0)</f>
        <v>0</v>
      </c>
      <c r="AH5" s="13">
        <f t="shared" ref="AH5:AH28" si="11">IF(B5="","",IF($J5&lt;=1.5,V5*0.01,V5*0.03))</f>
        <v>2.155846875E-2</v>
      </c>
      <c r="AI5" s="13">
        <f t="shared" ref="AI5:AI28" si="12">IF(B5="","",G5*M5)</f>
        <v>3.0874999999999999</v>
      </c>
      <c r="AJ5" s="13">
        <f t="shared" ref="AJ5:AJ28" si="13">IF(B5="","",T5)</f>
        <v>2.2693124999999998</v>
      </c>
      <c r="AK5" s="13">
        <f t="shared" ref="AK5:AK28" si="14">IF(B5="","",IF(J5&gt;=1.25,IF(J5&lt;=2,G5*J5*2,0),0))</f>
        <v>0</v>
      </c>
      <c r="AL5" s="13">
        <f t="shared" ref="AL5:AL28" si="15">IF(B5="","",IF(J5&gt;2,G5*J5,0))</f>
        <v>0</v>
      </c>
    </row>
    <row r="6" spans="1:39" s="18" customFormat="1" x14ac:dyDescent="0.2">
      <c r="A6" s="170"/>
      <c r="B6" s="8" t="s">
        <v>504</v>
      </c>
      <c r="C6" s="10" t="str">
        <f t="shared" ref="C6:D28" si="16">E5</f>
        <v>0</v>
      </c>
      <c r="D6" s="9" t="str">
        <f t="shared" si="16"/>
        <v>+4,75</v>
      </c>
      <c r="E6" s="10" t="s">
        <v>131</v>
      </c>
      <c r="F6" s="9" t="s">
        <v>506</v>
      </c>
      <c r="G6" s="11">
        <v>1.98</v>
      </c>
      <c r="H6" s="12">
        <f t="shared" ref="H6:H28" si="17">I5</f>
        <v>0.7</v>
      </c>
      <c r="I6" s="12">
        <v>0.7</v>
      </c>
      <c r="J6" s="13">
        <f t="shared" si="0"/>
        <v>0.7</v>
      </c>
      <c r="K6" s="14">
        <v>80</v>
      </c>
      <c r="L6" s="15">
        <f t="shared" ref="L6:L28" si="18">IF($K6="","",IF($K6=80,$G6,""))</f>
        <v>1.98</v>
      </c>
      <c r="M6" s="16">
        <v>0.65</v>
      </c>
      <c r="N6" s="14" t="s">
        <v>134</v>
      </c>
      <c r="O6" s="17"/>
      <c r="P6" s="13">
        <f t="shared" si="1"/>
        <v>0</v>
      </c>
      <c r="Q6" s="13">
        <f t="shared" si="2"/>
        <v>0</v>
      </c>
      <c r="R6" s="13">
        <f t="shared" si="3"/>
        <v>0</v>
      </c>
      <c r="S6" s="13">
        <f t="shared" si="4"/>
        <v>0</v>
      </c>
      <c r="T6" s="13">
        <f t="shared" si="5"/>
        <v>0.94594499999999992</v>
      </c>
      <c r="U6" s="13">
        <f t="shared" ref="U6:U28" si="19">T6*0.05</f>
        <v>4.7297249999999999E-2</v>
      </c>
      <c r="V6" s="13">
        <f t="shared" ref="V6:V28" si="20">T6*0.95</f>
        <v>0.89864774999999986</v>
      </c>
      <c r="W6" s="13">
        <f t="shared" si="6"/>
        <v>4.4932387499999997E-2</v>
      </c>
      <c r="X6" s="13">
        <f t="shared" si="7"/>
        <v>2.3648625000000003E-3</v>
      </c>
      <c r="Y6" s="13">
        <f t="shared" si="8"/>
        <v>0</v>
      </c>
      <c r="Z6" s="13">
        <f t="shared" si="9"/>
        <v>0</v>
      </c>
      <c r="AA6" s="13">
        <f t="shared" si="10"/>
        <v>0</v>
      </c>
      <c r="AB6" s="13">
        <f t="shared" ref="AB6:AB28" si="21">IF($J6&lt;=1.5,V6*0.94,0)</f>
        <v>0.84472888499999976</v>
      </c>
      <c r="AC6" s="13">
        <f t="shared" ref="AC6:AC28" si="22">IF($J6&lt;=1.5,V6*0.05,0)</f>
        <v>4.4932387499999997E-2</v>
      </c>
      <c r="AD6" s="13">
        <f t="shared" ref="AD6:AD26" si="23">IF(AND($J6&gt;1.5,$J6&lt;=3),V6*0.47,0)</f>
        <v>0</v>
      </c>
      <c r="AE6" s="13">
        <f t="shared" ref="AE6:AE26" si="24">IF(AND($J6&gt;1.5,$J6&lt;=4),V6*0.5,0)</f>
        <v>0</v>
      </c>
      <c r="AF6" s="13">
        <f t="shared" ref="AF6:AF28" si="25">IF(AND($J6&gt;3,$J6&lt;=4.5),V6*0.47,0)</f>
        <v>0</v>
      </c>
      <c r="AG6" s="13">
        <f t="shared" ref="AG6:AG28" si="26">IF(AND($J6&gt;3,$J6&lt;=4.5),V6*0.5,0)</f>
        <v>0</v>
      </c>
      <c r="AH6" s="13">
        <f t="shared" si="11"/>
        <v>8.9864774999999994E-3</v>
      </c>
      <c r="AI6" s="13">
        <f t="shared" si="12"/>
        <v>1.2869999999999999</v>
      </c>
      <c r="AJ6" s="13">
        <f t="shared" si="13"/>
        <v>0.94594499999999992</v>
      </c>
      <c r="AK6" s="13">
        <f t="shared" si="14"/>
        <v>0</v>
      </c>
      <c r="AL6" s="13">
        <f t="shared" si="15"/>
        <v>0</v>
      </c>
    </row>
    <row r="7" spans="1:39" s="18" customFormat="1" x14ac:dyDescent="0.2">
      <c r="A7" s="170"/>
      <c r="B7" s="8" t="s">
        <v>504</v>
      </c>
      <c r="C7" s="10" t="str">
        <f t="shared" si="16"/>
        <v>0</v>
      </c>
      <c r="D7" s="9" t="str">
        <f t="shared" si="16"/>
        <v>+6,73</v>
      </c>
      <c r="E7" s="10" t="s">
        <v>131</v>
      </c>
      <c r="F7" s="9" t="s">
        <v>507</v>
      </c>
      <c r="G7" s="11">
        <v>1.03</v>
      </c>
      <c r="H7" s="12">
        <f t="shared" si="17"/>
        <v>0.7</v>
      </c>
      <c r="I7" s="12">
        <v>0.69899999999999995</v>
      </c>
      <c r="J7" s="13">
        <f t="shared" si="0"/>
        <v>0.69950000000000001</v>
      </c>
      <c r="K7" s="14">
        <v>80</v>
      </c>
      <c r="L7" s="15">
        <f t="shared" si="18"/>
        <v>1.03</v>
      </c>
      <c r="M7" s="16">
        <v>0.65</v>
      </c>
      <c r="N7" s="14" t="s">
        <v>134</v>
      </c>
      <c r="O7" s="17"/>
      <c r="P7" s="13">
        <f t="shared" si="1"/>
        <v>0</v>
      </c>
      <c r="Q7" s="13">
        <f t="shared" si="2"/>
        <v>0</v>
      </c>
      <c r="R7" s="13">
        <f t="shared" si="3"/>
        <v>0</v>
      </c>
      <c r="S7" s="13">
        <f t="shared" si="4"/>
        <v>0</v>
      </c>
      <c r="T7" s="13">
        <f t="shared" si="5"/>
        <v>0.49173101250000006</v>
      </c>
      <c r="U7" s="13">
        <f t="shared" si="19"/>
        <v>2.4586550625000005E-2</v>
      </c>
      <c r="V7" s="13">
        <f t="shared" si="20"/>
        <v>0.46714446187500003</v>
      </c>
      <c r="W7" s="13">
        <f t="shared" si="6"/>
        <v>2.3357223093750004E-2</v>
      </c>
      <c r="X7" s="13">
        <f t="shared" si="7"/>
        <v>1.2293275312500003E-3</v>
      </c>
      <c r="Y7" s="13">
        <f t="shared" si="8"/>
        <v>0</v>
      </c>
      <c r="Z7" s="13">
        <f t="shared" si="9"/>
        <v>0</v>
      </c>
      <c r="AA7" s="13">
        <f t="shared" si="10"/>
        <v>0</v>
      </c>
      <c r="AB7" s="13">
        <f t="shared" si="21"/>
        <v>0.43911579416250002</v>
      </c>
      <c r="AC7" s="13">
        <f t="shared" si="22"/>
        <v>2.3357223093750004E-2</v>
      </c>
      <c r="AD7" s="13">
        <f t="shared" si="23"/>
        <v>0</v>
      </c>
      <c r="AE7" s="13">
        <f t="shared" si="24"/>
        <v>0</v>
      </c>
      <c r="AF7" s="13">
        <f t="shared" si="25"/>
        <v>0</v>
      </c>
      <c r="AG7" s="13">
        <f t="shared" si="26"/>
        <v>0</v>
      </c>
      <c r="AH7" s="13">
        <f t="shared" si="11"/>
        <v>4.6714446187500003E-3</v>
      </c>
      <c r="AI7" s="13">
        <f t="shared" si="12"/>
        <v>0.6695000000000001</v>
      </c>
      <c r="AJ7" s="13">
        <f t="shared" si="13"/>
        <v>0.49173101250000006</v>
      </c>
      <c r="AK7" s="13">
        <f t="shared" si="14"/>
        <v>0</v>
      </c>
      <c r="AL7" s="13">
        <f t="shared" si="15"/>
        <v>0</v>
      </c>
    </row>
    <row r="8" spans="1:39" s="18" customFormat="1" x14ac:dyDescent="0.2">
      <c r="A8" s="170"/>
      <c r="B8" s="8" t="s">
        <v>504</v>
      </c>
      <c r="C8" s="10" t="str">
        <f t="shared" si="16"/>
        <v>0</v>
      </c>
      <c r="D8" s="9" t="str">
        <f t="shared" si="16"/>
        <v>+7,76</v>
      </c>
      <c r="E8" s="10" t="s">
        <v>131</v>
      </c>
      <c r="F8" s="9" t="s">
        <v>508</v>
      </c>
      <c r="G8" s="11">
        <v>2.99</v>
      </c>
      <c r="H8" s="12">
        <f t="shared" si="17"/>
        <v>0.69899999999999995</v>
      </c>
      <c r="I8" s="12">
        <v>0.68700000000000006</v>
      </c>
      <c r="J8" s="13">
        <f t="shared" si="0"/>
        <v>0.69300000000000006</v>
      </c>
      <c r="K8" s="14">
        <v>80</v>
      </c>
      <c r="L8" s="15">
        <f t="shared" si="18"/>
        <v>2.99</v>
      </c>
      <c r="M8" s="16">
        <v>0.65</v>
      </c>
      <c r="N8" s="14" t="s">
        <v>134</v>
      </c>
      <c r="O8" s="17"/>
      <c r="P8" s="13">
        <f t="shared" si="1"/>
        <v>0</v>
      </c>
      <c r="Q8" s="13">
        <f t="shared" si="2"/>
        <v>0</v>
      </c>
      <c r="R8" s="13">
        <f t="shared" si="3"/>
        <v>0</v>
      </c>
      <c r="S8" s="13">
        <f t="shared" si="4"/>
        <v>0</v>
      </c>
      <c r="T8" s="13">
        <f t="shared" si="5"/>
        <v>1.4141877750000005</v>
      </c>
      <c r="U8" s="13">
        <f t="shared" si="19"/>
        <v>7.0709388750000032E-2</v>
      </c>
      <c r="V8" s="13">
        <f t="shared" si="20"/>
        <v>1.3434783862500004</v>
      </c>
      <c r="W8" s="13">
        <f t="shared" si="6"/>
        <v>6.7173919312500024E-2</v>
      </c>
      <c r="X8" s="13">
        <f t="shared" si="7"/>
        <v>3.5354694375000018E-3</v>
      </c>
      <c r="Y8" s="13">
        <f t="shared" si="8"/>
        <v>0</v>
      </c>
      <c r="Z8" s="13">
        <f t="shared" si="9"/>
        <v>0</v>
      </c>
      <c r="AA8" s="13">
        <f t="shared" si="10"/>
        <v>0</v>
      </c>
      <c r="AB8" s="13">
        <f t="shared" si="21"/>
        <v>1.2628696830750004</v>
      </c>
      <c r="AC8" s="13">
        <f t="shared" si="22"/>
        <v>6.7173919312500024E-2</v>
      </c>
      <c r="AD8" s="13">
        <f t="shared" si="23"/>
        <v>0</v>
      </c>
      <c r="AE8" s="13">
        <f t="shared" si="24"/>
        <v>0</v>
      </c>
      <c r="AF8" s="13">
        <f t="shared" si="25"/>
        <v>0</v>
      </c>
      <c r="AG8" s="13">
        <f t="shared" si="26"/>
        <v>0</v>
      </c>
      <c r="AH8" s="13">
        <f t="shared" si="11"/>
        <v>1.3434783862500004E-2</v>
      </c>
      <c r="AI8" s="13">
        <f t="shared" si="12"/>
        <v>1.9435000000000002</v>
      </c>
      <c r="AJ8" s="13">
        <f t="shared" si="13"/>
        <v>1.4141877750000005</v>
      </c>
      <c r="AK8" s="13">
        <f t="shared" si="14"/>
        <v>0</v>
      </c>
      <c r="AL8" s="13">
        <f t="shared" si="15"/>
        <v>0</v>
      </c>
    </row>
    <row r="9" spans="1:39" s="18" customFormat="1" x14ac:dyDescent="0.2">
      <c r="A9" s="170"/>
      <c r="B9" s="8" t="s">
        <v>504</v>
      </c>
      <c r="C9" s="10" t="str">
        <f t="shared" si="16"/>
        <v>0</v>
      </c>
      <c r="D9" s="9" t="str">
        <f t="shared" si="16"/>
        <v>+10,75</v>
      </c>
      <c r="E9" s="10" t="s">
        <v>131</v>
      </c>
      <c r="F9" s="9" t="s">
        <v>509</v>
      </c>
      <c r="G9" s="11">
        <v>1.04</v>
      </c>
      <c r="H9" s="12">
        <f t="shared" si="17"/>
        <v>0.68700000000000006</v>
      </c>
      <c r="I9" s="12">
        <v>0.68700000000000006</v>
      </c>
      <c r="J9" s="13">
        <f t="shared" si="0"/>
        <v>0.68700000000000006</v>
      </c>
      <c r="K9" s="14">
        <v>80</v>
      </c>
      <c r="L9" s="15">
        <f t="shared" si="18"/>
        <v>1.04</v>
      </c>
      <c r="M9" s="16">
        <v>0.65</v>
      </c>
      <c r="N9" s="14" t="s">
        <v>134</v>
      </c>
      <c r="O9" s="17"/>
      <c r="P9" s="13">
        <f t="shared" si="1"/>
        <v>0</v>
      </c>
      <c r="Q9" s="13">
        <f t="shared" si="2"/>
        <v>0</v>
      </c>
      <c r="R9" s="13">
        <f t="shared" si="3"/>
        <v>0</v>
      </c>
      <c r="S9" s="13">
        <f t="shared" si="4"/>
        <v>0</v>
      </c>
      <c r="T9" s="13">
        <f t="shared" si="5"/>
        <v>0.48763260000000014</v>
      </c>
      <c r="U9" s="13">
        <f t="shared" si="19"/>
        <v>2.4381630000000008E-2</v>
      </c>
      <c r="V9" s="13">
        <f t="shared" si="20"/>
        <v>0.4632509700000001</v>
      </c>
      <c r="W9" s="13">
        <f t="shared" si="6"/>
        <v>2.3162548500000008E-2</v>
      </c>
      <c r="X9" s="13">
        <f t="shared" si="7"/>
        <v>1.2190815000000005E-3</v>
      </c>
      <c r="Y9" s="13">
        <f t="shared" si="8"/>
        <v>0</v>
      </c>
      <c r="Z9" s="13">
        <f t="shared" si="9"/>
        <v>0</v>
      </c>
      <c r="AA9" s="13">
        <f t="shared" si="10"/>
        <v>0</v>
      </c>
      <c r="AB9" s="13">
        <f t="shared" si="21"/>
        <v>0.43545591180000004</v>
      </c>
      <c r="AC9" s="13">
        <f t="shared" si="22"/>
        <v>2.3162548500000005E-2</v>
      </c>
      <c r="AD9" s="13">
        <f t="shared" si="23"/>
        <v>0</v>
      </c>
      <c r="AE9" s="13">
        <f t="shared" si="24"/>
        <v>0</v>
      </c>
      <c r="AF9" s="13">
        <f t="shared" si="25"/>
        <v>0</v>
      </c>
      <c r="AG9" s="13">
        <f t="shared" si="26"/>
        <v>0</v>
      </c>
      <c r="AH9" s="13">
        <f t="shared" si="11"/>
        <v>4.6325097000000015E-3</v>
      </c>
      <c r="AI9" s="13">
        <f t="shared" si="12"/>
        <v>0.67600000000000005</v>
      </c>
      <c r="AJ9" s="13">
        <f t="shared" si="13"/>
        <v>0.48763260000000014</v>
      </c>
      <c r="AK9" s="13">
        <f t="shared" si="14"/>
        <v>0</v>
      </c>
      <c r="AL9" s="13">
        <f t="shared" si="15"/>
        <v>0</v>
      </c>
    </row>
    <row r="10" spans="1:39" s="18" customFormat="1" x14ac:dyDescent="0.2">
      <c r="A10" s="170"/>
      <c r="B10" s="8" t="s">
        <v>504</v>
      </c>
      <c r="C10" s="10" t="str">
        <f t="shared" si="16"/>
        <v>0</v>
      </c>
      <c r="D10" s="9" t="str">
        <f t="shared" si="16"/>
        <v>+11,79</v>
      </c>
      <c r="E10" s="10" t="s">
        <v>131</v>
      </c>
      <c r="F10" s="9" t="s">
        <v>510</v>
      </c>
      <c r="G10" s="11">
        <v>6</v>
      </c>
      <c r="H10" s="12">
        <f t="shared" si="17"/>
        <v>0.68700000000000006</v>
      </c>
      <c r="I10" s="12">
        <v>0.68600000000000005</v>
      </c>
      <c r="J10" s="13">
        <f t="shared" si="0"/>
        <v>0.68650000000000011</v>
      </c>
      <c r="K10" s="14">
        <v>80</v>
      </c>
      <c r="L10" s="15">
        <f t="shared" si="18"/>
        <v>6</v>
      </c>
      <c r="M10" s="16">
        <v>0.65</v>
      </c>
      <c r="N10" s="14" t="s">
        <v>134</v>
      </c>
      <c r="O10" s="17"/>
      <c r="P10" s="13">
        <f t="shared" si="1"/>
        <v>0</v>
      </c>
      <c r="Q10" s="13">
        <f t="shared" si="2"/>
        <v>0</v>
      </c>
      <c r="R10" s="13">
        <f t="shared" si="3"/>
        <v>0</v>
      </c>
      <c r="S10" s="13">
        <f t="shared" si="4"/>
        <v>0</v>
      </c>
      <c r="T10" s="13">
        <f t="shared" si="5"/>
        <v>2.8112175000000006</v>
      </c>
      <c r="U10" s="13">
        <f t="shared" si="19"/>
        <v>0.14056087500000003</v>
      </c>
      <c r="V10" s="13">
        <f t="shared" si="20"/>
        <v>2.6706566250000003</v>
      </c>
      <c r="W10" s="13">
        <f t="shared" si="6"/>
        <v>0.13353283125000001</v>
      </c>
      <c r="X10" s="13">
        <f t="shared" si="7"/>
        <v>7.0280437500000017E-3</v>
      </c>
      <c r="Y10" s="13">
        <f t="shared" si="8"/>
        <v>0</v>
      </c>
      <c r="Z10" s="13">
        <f t="shared" si="9"/>
        <v>0</v>
      </c>
      <c r="AA10" s="13">
        <f t="shared" si="10"/>
        <v>0</v>
      </c>
      <c r="AB10" s="13">
        <f t="shared" si="21"/>
        <v>2.5104172275000001</v>
      </c>
      <c r="AC10" s="13">
        <f t="shared" si="22"/>
        <v>0.13353283125000001</v>
      </c>
      <c r="AD10" s="13">
        <f t="shared" si="23"/>
        <v>0</v>
      </c>
      <c r="AE10" s="13">
        <f t="shared" si="24"/>
        <v>0</v>
      </c>
      <c r="AF10" s="13">
        <f t="shared" si="25"/>
        <v>0</v>
      </c>
      <c r="AG10" s="13">
        <f t="shared" si="26"/>
        <v>0</v>
      </c>
      <c r="AH10" s="13">
        <f t="shared" si="11"/>
        <v>2.6706566250000004E-2</v>
      </c>
      <c r="AI10" s="13">
        <f t="shared" si="12"/>
        <v>3.9000000000000004</v>
      </c>
      <c r="AJ10" s="13">
        <f t="shared" si="13"/>
        <v>2.8112175000000006</v>
      </c>
      <c r="AK10" s="13">
        <f t="shared" si="14"/>
        <v>0</v>
      </c>
      <c r="AL10" s="13">
        <f t="shared" si="15"/>
        <v>0</v>
      </c>
    </row>
    <row r="11" spans="1:39" s="18" customFormat="1" x14ac:dyDescent="0.2">
      <c r="A11" s="170"/>
      <c r="B11" s="8" t="s">
        <v>504</v>
      </c>
      <c r="C11" s="10" t="str">
        <f t="shared" si="16"/>
        <v>0</v>
      </c>
      <c r="D11" s="9" t="str">
        <f t="shared" si="16"/>
        <v>+17,79</v>
      </c>
      <c r="E11" s="10" t="s">
        <v>512</v>
      </c>
      <c r="F11" s="9" t="s">
        <v>511</v>
      </c>
      <c r="G11" s="11">
        <v>5.99</v>
      </c>
      <c r="H11" s="12">
        <f t="shared" si="17"/>
        <v>0.68600000000000005</v>
      </c>
      <c r="I11" s="12">
        <v>0.68600000000000005</v>
      </c>
      <c r="J11" s="13">
        <f t="shared" si="0"/>
        <v>0.68600000000000005</v>
      </c>
      <c r="K11" s="14">
        <v>80</v>
      </c>
      <c r="L11" s="15">
        <f t="shared" si="18"/>
        <v>5.99</v>
      </c>
      <c r="M11" s="16">
        <v>0.65</v>
      </c>
      <c r="N11" s="14" t="s">
        <v>134</v>
      </c>
      <c r="O11" s="17"/>
      <c r="P11" s="13">
        <f t="shared" si="1"/>
        <v>0</v>
      </c>
      <c r="Q11" s="13">
        <f t="shared" si="2"/>
        <v>0</v>
      </c>
      <c r="R11" s="13">
        <f t="shared" si="3"/>
        <v>0</v>
      </c>
      <c r="S11" s="13">
        <f t="shared" si="4"/>
        <v>0</v>
      </c>
      <c r="T11" s="13">
        <f t="shared" si="5"/>
        <v>2.8044880500000011</v>
      </c>
      <c r="U11" s="13">
        <f t="shared" si="19"/>
        <v>0.14022440250000007</v>
      </c>
      <c r="V11" s="13">
        <f t="shared" si="20"/>
        <v>2.6642636475000008</v>
      </c>
      <c r="W11" s="13">
        <f t="shared" si="6"/>
        <v>0.13321318237500004</v>
      </c>
      <c r="X11" s="13">
        <f t="shared" si="7"/>
        <v>7.0112201250000037E-3</v>
      </c>
      <c r="Y11" s="13">
        <f t="shared" si="8"/>
        <v>0</v>
      </c>
      <c r="Z11" s="13">
        <f t="shared" si="9"/>
        <v>0</v>
      </c>
      <c r="AA11" s="13">
        <f t="shared" si="10"/>
        <v>0</v>
      </c>
      <c r="AB11" s="13">
        <f t="shared" si="21"/>
        <v>2.5044078286500007</v>
      </c>
      <c r="AC11" s="13">
        <f t="shared" si="22"/>
        <v>0.13321318237500004</v>
      </c>
      <c r="AD11" s="13">
        <f t="shared" si="23"/>
        <v>0</v>
      </c>
      <c r="AE11" s="13">
        <f t="shared" si="24"/>
        <v>0</v>
      </c>
      <c r="AF11" s="13">
        <f t="shared" si="25"/>
        <v>0</v>
      </c>
      <c r="AG11" s="13">
        <f t="shared" si="26"/>
        <v>0</v>
      </c>
      <c r="AH11" s="13">
        <f t="shared" si="11"/>
        <v>2.6642636475000009E-2</v>
      </c>
      <c r="AI11" s="13">
        <f t="shared" si="12"/>
        <v>3.8935000000000004</v>
      </c>
      <c r="AJ11" s="13">
        <f t="shared" si="13"/>
        <v>2.8044880500000011</v>
      </c>
      <c r="AK11" s="13">
        <f t="shared" si="14"/>
        <v>0</v>
      </c>
      <c r="AL11" s="13">
        <f t="shared" si="15"/>
        <v>0</v>
      </c>
      <c r="AM11" s="19"/>
    </row>
    <row r="12" spans="1:39" s="18" customFormat="1" x14ac:dyDescent="0.2">
      <c r="A12" s="170"/>
      <c r="B12" s="8" t="s">
        <v>504</v>
      </c>
      <c r="C12" s="10" t="str">
        <f t="shared" si="16"/>
        <v>1</v>
      </c>
      <c r="D12" s="9" t="str">
        <f t="shared" si="16"/>
        <v>+3,78</v>
      </c>
      <c r="E12" s="10" t="s">
        <v>512</v>
      </c>
      <c r="F12" s="9" t="s">
        <v>513</v>
      </c>
      <c r="G12" s="11">
        <v>6</v>
      </c>
      <c r="H12" s="12">
        <f t="shared" si="17"/>
        <v>0.68600000000000005</v>
      </c>
      <c r="I12" s="12">
        <v>0.69099999999999995</v>
      </c>
      <c r="J12" s="13">
        <f t="shared" si="0"/>
        <v>0.6885</v>
      </c>
      <c r="K12" s="14">
        <v>80</v>
      </c>
      <c r="L12" s="15">
        <f t="shared" si="18"/>
        <v>6</v>
      </c>
      <c r="M12" s="16">
        <v>0.65</v>
      </c>
      <c r="N12" s="14" t="s">
        <v>134</v>
      </c>
      <c r="O12" s="17"/>
      <c r="P12" s="13">
        <f t="shared" si="1"/>
        <v>0</v>
      </c>
      <c r="Q12" s="13">
        <f t="shared" si="2"/>
        <v>0</v>
      </c>
      <c r="R12" s="13">
        <f t="shared" si="3"/>
        <v>0</v>
      </c>
      <c r="S12" s="13">
        <f t="shared" si="4"/>
        <v>0</v>
      </c>
      <c r="T12" s="13">
        <f t="shared" si="5"/>
        <v>2.8194075000000001</v>
      </c>
      <c r="U12" s="13">
        <f t="shared" si="19"/>
        <v>0.14097037500000001</v>
      </c>
      <c r="V12" s="13">
        <f t="shared" si="20"/>
        <v>2.6784371249999999</v>
      </c>
      <c r="W12" s="13">
        <f t="shared" si="6"/>
        <v>0.13392185625</v>
      </c>
      <c r="X12" s="13">
        <f t="shared" si="7"/>
        <v>7.0485187500000006E-3</v>
      </c>
      <c r="Y12" s="13">
        <f t="shared" si="8"/>
        <v>0</v>
      </c>
      <c r="Z12" s="13">
        <f t="shared" si="9"/>
        <v>0</v>
      </c>
      <c r="AA12" s="13">
        <f t="shared" si="10"/>
        <v>0</v>
      </c>
      <c r="AB12" s="13">
        <f t="shared" si="21"/>
        <v>2.5177308974999999</v>
      </c>
      <c r="AC12" s="13">
        <f t="shared" si="22"/>
        <v>0.13392185625</v>
      </c>
      <c r="AD12" s="13">
        <f t="shared" si="23"/>
        <v>0</v>
      </c>
      <c r="AE12" s="13">
        <f t="shared" si="24"/>
        <v>0</v>
      </c>
      <c r="AF12" s="13">
        <f t="shared" si="25"/>
        <v>0</v>
      </c>
      <c r="AG12" s="13">
        <f t="shared" si="26"/>
        <v>0</v>
      </c>
      <c r="AH12" s="13">
        <f t="shared" si="11"/>
        <v>2.6784371249999998E-2</v>
      </c>
      <c r="AI12" s="13">
        <f t="shared" si="12"/>
        <v>3.9000000000000004</v>
      </c>
      <c r="AJ12" s="13">
        <f t="shared" si="13"/>
        <v>2.8194075000000001</v>
      </c>
      <c r="AK12" s="13">
        <f t="shared" si="14"/>
        <v>0</v>
      </c>
      <c r="AL12" s="13">
        <f t="shared" si="15"/>
        <v>0</v>
      </c>
    </row>
    <row r="13" spans="1:39" s="18" customFormat="1" x14ac:dyDescent="0.2">
      <c r="A13" s="170"/>
      <c r="B13" s="8" t="s">
        <v>504</v>
      </c>
      <c r="C13" s="10" t="str">
        <f t="shared" si="16"/>
        <v>1</v>
      </c>
      <c r="D13" s="9" t="str">
        <f t="shared" si="16"/>
        <v>+9,78</v>
      </c>
      <c r="E13" s="10" t="s">
        <v>512</v>
      </c>
      <c r="F13" s="9" t="s">
        <v>514</v>
      </c>
      <c r="G13" s="11">
        <v>6</v>
      </c>
      <c r="H13" s="12">
        <f t="shared" si="17"/>
        <v>0.69099999999999995</v>
      </c>
      <c r="I13" s="12">
        <v>0.69699999999999995</v>
      </c>
      <c r="J13" s="13">
        <f t="shared" si="0"/>
        <v>0.69399999999999995</v>
      </c>
      <c r="K13" s="14">
        <v>80</v>
      </c>
      <c r="L13" s="15">
        <f t="shared" si="18"/>
        <v>6</v>
      </c>
      <c r="M13" s="16">
        <v>0.65</v>
      </c>
      <c r="N13" s="14" t="s">
        <v>134</v>
      </c>
      <c r="O13" s="17"/>
      <c r="P13" s="13">
        <f t="shared" si="1"/>
        <v>0</v>
      </c>
      <c r="Q13" s="13">
        <f t="shared" si="2"/>
        <v>0</v>
      </c>
      <c r="R13" s="13">
        <f t="shared" si="3"/>
        <v>0</v>
      </c>
      <c r="S13" s="13">
        <f t="shared" si="4"/>
        <v>0</v>
      </c>
      <c r="T13" s="13">
        <f t="shared" si="5"/>
        <v>2.8419300000000001</v>
      </c>
      <c r="U13" s="13">
        <f t="shared" si="19"/>
        <v>0.14209650000000001</v>
      </c>
      <c r="V13" s="13">
        <f t="shared" si="20"/>
        <v>2.6998335</v>
      </c>
      <c r="W13" s="13">
        <f t="shared" si="6"/>
        <v>0.13499167500000001</v>
      </c>
      <c r="X13" s="13">
        <f t="shared" si="7"/>
        <v>7.1048250000000012E-3</v>
      </c>
      <c r="Y13" s="13">
        <f t="shared" si="8"/>
        <v>0</v>
      </c>
      <c r="Z13" s="13">
        <f t="shared" si="9"/>
        <v>0</v>
      </c>
      <c r="AA13" s="13">
        <f t="shared" si="10"/>
        <v>0</v>
      </c>
      <c r="AB13" s="13">
        <f t="shared" si="21"/>
        <v>2.5378434899999998</v>
      </c>
      <c r="AC13" s="13">
        <f t="shared" si="22"/>
        <v>0.13499167500000001</v>
      </c>
      <c r="AD13" s="13">
        <f t="shared" si="23"/>
        <v>0</v>
      </c>
      <c r="AE13" s="13">
        <f t="shared" si="24"/>
        <v>0</v>
      </c>
      <c r="AF13" s="13">
        <f t="shared" si="25"/>
        <v>0</v>
      </c>
      <c r="AG13" s="13">
        <f t="shared" si="26"/>
        <v>0</v>
      </c>
      <c r="AH13" s="13">
        <f t="shared" si="11"/>
        <v>2.6998335000000002E-2</v>
      </c>
      <c r="AI13" s="13">
        <f t="shared" si="12"/>
        <v>3.9000000000000004</v>
      </c>
      <c r="AJ13" s="13">
        <f t="shared" si="13"/>
        <v>2.8419300000000001</v>
      </c>
      <c r="AK13" s="13">
        <f t="shared" si="14"/>
        <v>0</v>
      </c>
      <c r="AL13" s="13">
        <f t="shared" si="15"/>
        <v>0</v>
      </c>
      <c r="AM13" s="19"/>
    </row>
    <row r="14" spans="1:39" s="18" customFormat="1" x14ac:dyDescent="0.2">
      <c r="A14" s="170"/>
      <c r="B14" s="8" t="s">
        <v>504</v>
      </c>
      <c r="C14" s="10" t="str">
        <f t="shared" si="16"/>
        <v>1</v>
      </c>
      <c r="D14" s="9" t="str">
        <f t="shared" si="16"/>
        <v>+15,78</v>
      </c>
      <c r="E14" s="10" t="s">
        <v>515</v>
      </c>
      <c r="F14" s="9" t="s">
        <v>516</v>
      </c>
      <c r="G14" s="11">
        <v>6</v>
      </c>
      <c r="H14" s="12">
        <f t="shared" si="17"/>
        <v>0.69699999999999995</v>
      </c>
      <c r="I14" s="12">
        <v>0.69099999999999995</v>
      </c>
      <c r="J14" s="13">
        <f t="shared" si="0"/>
        <v>0.69399999999999995</v>
      </c>
      <c r="K14" s="14">
        <v>80</v>
      </c>
      <c r="L14" s="15">
        <f t="shared" si="18"/>
        <v>6</v>
      </c>
      <c r="M14" s="16">
        <v>0.65</v>
      </c>
      <c r="N14" s="14" t="s">
        <v>134</v>
      </c>
      <c r="O14" s="17"/>
      <c r="P14" s="13">
        <f t="shared" si="1"/>
        <v>0</v>
      </c>
      <c r="Q14" s="13">
        <f t="shared" si="2"/>
        <v>0</v>
      </c>
      <c r="R14" s="13">
        <f t="shared" si="3"/>
        <v>0</v>
      </c>
      <c r="S14" s="13">
        <f t="shared" si="4"/>
        <v>0</v>
      </c>
      <c r="T14" s="13">
        <f t="shared" si="5"/>
        <v>2.8419300000000001</v>
      </c>
      <c r="U14" s="13">
        <f t="shared" si="19"/>
        <v>0.14209650000000001</v>
      </c>
      <c r="V14" s="13">
        <f t="shared" si="20"/>
        <v>2.6998335</v>
      </c>
      <c r="W14" s="13">
        <f t="shared" si="6"/>
        <v>0.13499167500000001</v>
      </c>
      <c r="X14" s="13">
        <f t="shared" si="7"/>
        <v>7.1048250000000012E-3</v>
      </c>
      <c r="Y14" s="13">
        <f t="shared" si="8"/>
        <v>0</v>
      </c>
      <c r="Z14" s="13">
        <f t="shared" si="9"/>
        <v>0</v>
      </c>
      <c r="AA14" s="13">
        <f t="shared" si="10"/>
        <v>0</v>
      </c>
      <c r="AB14" s="13">
        <f t="shared" si="21"/>
        <v>2.5378434899999998</v>
      </c>
      <c r="AC14" s="13">
        <f t="shared" si="22"/>
        <v>0.13499167500000001</v>
      </c>
      <c r="AD14" s="13">
        <f t="shared" si="23"/>
        <v>0</v>
      </c>
      <c r="AE14" s="13">
        <f t="shared" si="24"/>
        <v>0</v>
      </c>
      <c r="AF14" s="13">
        <f t="shared" si="25"/>
        <v>0</v>
      </c>
      <c r="AG14" s="13">
        <f t="shared" si="26"/>
        <v>0</v>
      </c>
      <c r="AH14" s="13">
        <f t="shared" si="11"/>
        <v>2.6998335000000002E-2</v>
      </c>
      <c r="AI14" s="13">
        <f t="shared" si="12"/>
        <v>3.9000000000000004</v>
      </c>
      <c r="AJ14" s="13">
        <f t="shared" si="13"/>
        <v>2.8419300000000001</v>
      </c>
      <c r="AK14" s="13">
        <f t="shared" si="14"/>
        <v>0</v>
      </c>
      <c r="AL14" s="13">
        <f t="shared" si="15"/>
        <v>0</v>
      </c>
      <c r="AM14" s="19"/>
    </row>
    <row r="15" spans="1:39" s="18" customFormat="1" x14ac:dyDescent="0.2">
      <c r="A15" s="170"/>
      <c r="B15" s="8" t="s">
        <v>504</v>
      </c>
      <c r="C15" s="10" t="str">
        <f t="shared" si="16"/>
        <v>2</v>
      </c>
      <c r="D15" s="9" t="str">
        <f t="shared" si="16"/>
        <v>+1,78</v>
      </c>
      <c r="E15" s="10" t="s">
        <v>515</v>
      </c>
      <c r="F15" s="9" t="s">
        <v>517</v>
      </c>
      <c r="G15" s="11">
        <v>6</v>
      </c>
      <c r="H15" s="12">
        <f t="shared" si="17"/>
        <v>0.69099999999999995</v>
      </c>
      <c r="I15" s="12">
        <v>0.64600000000000002</v>
      </c>
      <c r="J15" s="13">
        <f t="shared" si="0"/>
        <v>0.66849999999999998</v>
      </c>
      <c r="K15" s="14">
        <v>80</v>
      </c>
      <c r="L15" s="15">
        <f t="shared" si="18"/>
        <v>6</v>
      </c>
      <c r="M15" s="16">
        <v>0.65</v>
      </c>
      <c r="N15" s="14" t="s">
        <v>134</v>
      </c>
      <c r="O15" s="17"/>
      <c r="P15" s="13">
        <f t="shared" si="1"/>
        <v>0</v>
      </c>
      <c r="Q15" s="13">
        <f t="shared" si="2"/>
        <v>0</v>
      </c>
      <c r="R15" s="13">
        <f t="shared" si="3"/>
        <v>0</v>
      </c>
      <c r="S15" s="13">
        <f t="shared" si="4"/>
        <v>0</v>
      </c>
      <c r="T15" s="13">
        <f t="shared" si="5"/>
        <v>2.7375075000000004</v>
      </c>
      <c r="U15" s="13">
        <f t="shared" si="19"/>
        <v>0.13687537500000002</v>
      </c>
      <c r="V15" s="13">
        <f t="shared" si="20"/>
        <v>2.6006321250000002</v>
      </c>
      <c r="W15" s="13">
        <f t="shared" si="6"/>
        <v>0.13003160625000001</v>
      </c>
      <c r="X15" s="13">
        <f t="shared" si="7"/>
        <v>6.8437687500000014E-3</v>
      </c>
      <c r="Y15" s="13">
        <f t="shared" si="8"/>
        <v>0</v>
      </c>
      <c r="Z15" s="13">
        <f t="shared" si="9"/>
        <v>0</v>
      </c>
      <c r="AA15" s="13">
        <f t="shared" si="10"/>
        <v>0</v>
      </c>
      <c r="AB15" s="13">
        <f t="shared" si="21"/>
        <v>2.4445941974999998</v>
      </c>
      <c r="AC15" s="13">
        <f t="shared" si="22"/>
        <v>0.13003160625000001</v>
      </c>
      <c r="AD15" s="13">
        <f t="shared" si="23"/>
        <v>0</v>
      </c>
      <c r="AE15" s="13">
        <f t="shared" si="24"/>
        <v>0</v>
      </c>
      <c r="AF15" s="13">
        <f t="shared" si="25"/>
        <v>0</v>
      </c>
      <c r="AG15" s="13">
        <f t="shared" si="26"/>
        <v>0</v>
      </c>
      <c r="AH15" s="13">
        <f t="shared" si="11"/>
        <v>2.6006321250000002E-2</v>
      </c>
      <c r="AI15" s="13">
        <f t="shared" si="12"/>
        <v>3.9000000000000004</v>
      </c>
      <c r="AJ15" s="13">
        <f t="shared" si="13"/>
        <v>2.7375075000000004</v>
      </c>
      <c r="AK15" s="13">
        <f t="shared" si="14"/>
        <v>0</v>
      </c>
      <c r="AL15" s="13">
        <f t="shared" si="15"/>
        <v>0</v>
      </c>
      <c r="AM15" s="19"/>
    </row>
    <row r="16" spans="1:39" s="18" customFormat="1" x14ac:dyDescent="0.2">
      <c r="A16" s="170"/>
      <c r="B16" s="8" t="s">
        <v>504</v>
      </c>
      <c r="C16" s="10" t="str">
        <f t="shared" si="16"/>
        <v>2</v>
      </c>
      <c r="D16" s="9" t="str">
        <f t="shared" si="16"/>
        <v>+7,78</v>
      </c>
      <c r="E16" s="10" t="s">
        <v>515</v>
      </c>
      <c r="F16" s="9" t="s">
        <v>518</v>
      </c>
      <c r="G16" s="11">
        <v>6</v>
      </c>
      <c r="H16" s="12">
        <f t="shared" si="17"/>
        <v>0.64600000000000002</v>
      </c>
      <c r="I16" s="12">
        <v>0.58699999999999997</v>
      </c>
      <c r="J16" s="13">
        <f t="shared" si="0"/>
        <v>0.61650000000000005</v>
      </c>
      <c r="K16" s="14">
        <v>80</v>
      </c>
      <c r="L16" s="15">
        <f t="shared" si="18"/>
        <v>6</v>
      </c>
      <c r="M16" s="16">
        <v>0.65</v>
      </c>
      <c r="N16" s="14" t="s">
        <v>134</v>
      </c>
      <c r="O16" s="17"/>
      <c r="P16" s="13">
        <f t="shared" si="1"/>
        <v>0</v>
      </c>
      <c r="Q16" s="13">
        <f t="shared" si="2"/>
        <v>0</v>
      </c>
      <c r="R16" s="13">
        <f t="shared" si="3"/>
        <v>0</v>
      </c>
      <c r="S16" s="13">
        <f t="shared" si="4"/>
        <v>0</v>
      </c>
      <c r="T16" s="13">
        <f t="shared" si="5"/>
        <v>2.5245675000000007</v>
      </c>
      <c r="U16" s="13">
        <f t="shared" si="19"/>
        <v>0.12622837500000003</v>
      </c>
      <c r="V16" s="13">
        <f t="shared" si="20"/>
        <v>2.3983391250000006</v>
      </c>
      <c r="W16" s="13">
        <f t="shared" si="6"/>
        <v>0.11991695625000003</v>
      </c>
      <c r="X16" s="13">
        <f t="shared" si="7"/>
        <v>6.3114187500000023E-3</v>
      </c>
      <c r="Y16" s="13">
        <f t="shared" si="8"/>
        <v>0</v>
      </c>
      <c r="Z16" s="13">
        <f t="shared" si="9"/>
        <v>0</v>
      </c>
      <c r="AA16" s="13">
        <f t="shared" si="10"/>
        <v>0</v>
      </c>
      <c r="AB16" s="13">
        <f t="shared" si="21"/>
        <v>2.2544387775000003</v>
      </c>
      <c r="AC16" s="13">
        <f t="shared" si="22"/>
        <v>0.11991695625000004</v>
      </c>
      <c r="AD16" s="13">
        <f t="shared" si="23"/>
        <v>0</v>
      </c>
      <c r="AE16" s="13">
        <f t="shared" si="24"/>
        <v>0</v>
      </c>
      <c r="AF16" s="13">
        <f t="shared" si="25"/>
        <v>0</v>
      </c>
      <c r="AG16" s="13">
        <f t="shared" si="26"/>
        <v>0</v>
      </c>
      <c r="AH16" s="13">
        <f t="shared" si="11"/>
        <v>2.3983391250000007E-2</v>
      </c>
      <c r="AI16" s="13">
        <f t="shared" si="12"/>
        <v>3.9000000000000004</v>
      </c>
      <c r="AJ16" s="13">
        <f t="shared" si="13"/>
        <v>2.5245675000000007</v>
      </c>
      <c r="AK16" s="13">
        <f t="shared" si="14"/>
        <v>0</v>
      </c>
      <c r="AL16" s="13">
        <f t="shared" si="15"/>
        <v>0</v>
      </c>
      <c r="AM16" s="19"/>
    </row>
    <row r="17" spans="1:39" s="18" customFormat="1" x14ac:dyDescent="0.2">
      <c r="A17" s="170"/>
      <c r="B17" s="8" t="s">
        <v>504</v>
      </c>
      <c r="C17" s="10" t="str">
        <f t="shared" si="16"/>
        <v>2</v>
      </c>
      <c r="D17" s="9" t="str">
        <f t="shared" si="16"/>
        <v>+13,78</v>
      </c>
      <c r="E17" s="10" t="s">
        <v>515</v>
      </c>
      <c r="F17" s="9" t="s">
        <v>519</v>
      </c>
      <c r="G17" s="11">
        <v>6.11</v>
      </c>
      <c r="H17" s="12">
        <f t="shared" si="17"/>
        <v>0.58699999999999997</v>
      </c>
      <c r="I17" s="12">
        <v>0.53900000000000003</v>
      </c>
      <c r="J17" s="13">
        <f t="shared" si="0"/>
        <v>0.56299999999999994</v>
      </c>
      <c r="K17" s="14">
        <v>80</v>
      </c>
      <c r="L17" s="15">
        <f t="shared" si="18"/>
        <v>6.11</v>
      </c>
      <c r="M17" s="16">
        <v>0.65</v>
      </c>
      <c r="N17" s="14" t="s">
        <v>134</v>
      </c>
      <c r="O17" s="17"/>
      <c r="P17" s="13">
        <f t="shared" si="1"/>
        <v>0</v>
      </c>
      <c r="Q17" s="13">
        <f t="shared" si="2"/>
        <v>0</v>
      </c>
      <c r="R17" s="13">
        <f t="shared" si="3"/>
        <v>0</v>
      </c>
      <c r="S17" s="13">
        <f t="shared" si="4"/>
        <v>0</v>
      </c>
      <c r="T17" s="13">
        <f t="shared" si="5"/>
        <v>2.3477522250000002</v>
      </c>
      <c r="U17" s="13">
        <f t="shared" si="19"/>
        <v>0.11738761125000002</v>
      </c>
      <c r="V17" s="13">
        <f t="shared" si="20"/>
        <v>2.2303646137499999</v>
      </c>
      <c r="W17" s="13">
        <f t="shared" si="6"/>
        <v>0.11151823068750001</v>
      </c>
      <c r="X17" s="13">
        <f t="shared" si="7"/>
        <v>5.8693805625000019E-3</v>
      </c>
      <c r="Y17" s="13">
        <f t="shared" si="8"/>
        <v>0</v>
      </c>
      <c r="Z17" s="13">
        <f t="shared" si="9"/>
        <v>0</v>
      </c>
      <c r="AA17" s="13">
        <f t="shared" si="10"/>
        <v>0</v>
      </c>
      <c r="AB17" s="13">
        <f t="shared" si="21"/>
        <v>2.096542736925</v>
      </c>
      <c r="AC17" s="13">
        <f t="shared" si="22"/>
        <v>0.1115182306875</v>
      </c>
      <c r="AD17" s="13">
        <f t="shared" si="23"/>
        <v>0</v>
      </c>
      <c r="AE17" s="13">
        <f t="shared" si="24"/>
        <v>0</v>
      </c>
      <c r="AF17" s="13">
        <f t="shared" si="25"/>
        <v>0</v>
      </c>
      <c r="AG17" s="13">
        <f t="shared" si="26"/>
        <v>0</v>
      </c>
      <c r="AH17" s="13">
        <f t="shared" si="11"/>
        <v>2.2303646137500001E-2</v>
      </c>
      <c r="AI17" s="13">
        <f t="shared" si="12"/>
        <v>3.9715000000000003</v>
      </c>
      <c r="AJ17" s="13">
        <f t="shared" si="13"/>
        <v>2.3477522250000002</v>
      </c>
      <c r="AK17" s="13">
        <f t="shared" si="14"/>
        <v>0</v>
      </c>
      <c r="AL17" s="13">
        <f t="shared" si="15"/>
        <v>0</v>
      </c>
      <c r="AM17" s="19"/>
    </row>
    <row r="18" spans="1:39" s="18" customFormat="1" x14ac:dyDescent="0.2">
      <c r="A18" s="170"/>
      <c r="B18" s="8" t="s">
        <v>504</v>
      </c>
      <c r="C18" s="10" t="str">
        <f t="shared" si="16"/>
        <v>2</v>
      </c>
      <c r="D18" s="9" t="str">
        <f t="shared" si="16"/>
        <v>+19,89</v>
      </c>
      <c r="E18" s="10" t="s">
        <v>520</v>
      </c>
      <c r="F18" s="9" t="s">
        <v>521</v>
      </c>
      <c r="G18" s="11">
        <v>1.04</v>
      </c>
      <c r="H18" s="12">
        <f t="shared" si="17"/>
        <v>0.53900000000000003</v>
      </c>
      <c r="I18" s="12">
        <v>0.54100000000000004</v>
      </c>
      <c r="J18" s="13">
        <f t="shared" si="0"/>
        <v>0.54</v>
      </c>
      <c r="K18" s="14">
        <v>80</v>
      </c>
      <c r="L18" s="15">
        <f t="shared" si="18"/>
        <v>1.04</v>
      </c>
      <c r="M18" s="16">
        <v>0.65</v>
      </c>
      <c r="N18" s="14" t="s">
        <v>134</v>
      </c>
      <c r="O18" s="17"/>
      <c r="P18" s="13">
        <f t="shared" si="1"/>
        <v>0</v>
      </c>
      <c r="Q18" s="13">
        <f t="shared" si="2"/>
        <v>0</v>
      </c>
      <c r="R18" s="13">
        <f t="shared" si="3"/>
        <v>0</v>
      </c>
      <c r="S18" s="13">
        <f t="shared" si="4"/>
        <v>0</v>
      </c>
      <c r="T18" s="13">
        <f t="shared" si="5"/>
        <v>0.38329200000000013</v>
      </c>
      <c r="U18" s="13">
        <f t="shared" si="19"/>
        <v>1.9164600000000007E-2</v>
      </c>
      <c r="V18" s="13">
        <f t="shared" si="20"/>
        <v>0.3641274000000001</v>
      </c>
      <c r="W18" s="13">
        <f t="shared" si="6"/>
        <v>1.8206370000000006E-2</v>
      </c>
      <c r="X18" s="13">
        <f t="shared" si="7"/>
        <v>9.5823000000000045E-4</v>
      </c>
      <c r="Y18" s="13">
        <f t="shared" si="8"/>
        <v>0</v>
      </c>
      <c r="Z18" s="13">
        <f t="shared" si="9"/>
        <v>0</v>
      </c>
      <c r="AA18" s="13">
        <f t="shared" si="10"/>
        <v>0</v>
      </c>
      <c r="AB18" s="13">
        <f t="shared" si="21"/>
        <v>0.3422797560000001</v>
      </c>
      <c r="AC18" s="13">
        <f t="shared" si="22"/>
        <v>1.8206370000000006E-2</v>
      </c>
      <c r="AD18" s="13">
        <f t="shared" si="23"/>
        <v>0</v>
      </c>
      <c r="AE18" s="13">
        <f t="shared" si="24"/>
        <v>0</v>
      </c>
      <c r="AF18" s="13">
        <f t="shared" si="25"/>
        <v>0</v>
      </c>
      <c r="AG18" s="13">
        <f t="shared" si="26"/>
        <v>0</v>
      </c>
      <c r="AH18" s="13">
        <f t="shared" si="11"/>
        <v>3.6412740000000012E-3</v>
      </c>
      <c r="AI18" s="13">
        <f t="shared" si="12"/>
        <v>0.67600000000000005</v>
      </c>
      <c r="AJ18" s="13">
        <f t="shared" si="13"/>
        <v>0.38329200000000013</v>
      </c>
      <c r="AK18" s="13">
        <f t="shared" si="14"/>
        <v>0</v>
      </c>
      <c r="AL18" s="13">
        <f t="shared" si="15"/>
        <v>0</v>
      </c>
      <c r="AM18" s="19"/>
    </row>
    <row r="19" spans="1:39" s="18" customFormat="1" x14ac:dyDescent="0.2">
      <c r="A19" s="170"/>
      <c r="B19" s="8" t="s">
        <v>504</v>
      </c>
      <c r="C19" s="10" t="str">
        <f t="shared" si="16"/>
        <v>3</v>
      </c>
      <c r="D19" s="9" t="str">
        <f t="shared" si="16"/>
        <v>+0,93</v>
      </c>
      <c r="E19" s="10" t="s">
        <v>520</v>
      </c>
      <c r="F19" s="9" t="s">
        <v>522</v>
      </c>
      <c r="G19" s="11">
        <v>5.69</v>
      </c>
      <c r="H19" s="12">
        <f t="shared" si="17"/>
        <v>0.54100000000000004</v>
      </c>
      <c r="I19" s="12">
        <v>0.60099999999999998</v>
      </c>
      <c r="J19" s="13">
        <f t="shared" si="0"/>
        <v>0.57099999999999995</v>
      </c>
      <c r="K19" s="14">
        <v>80</v>
      </c>
      <c r="L19" s="15">
        <f t="shared" si="18"/>
        <v>5.69</v>
      </c>
      <c r="M19" s="16">
        <v>0.65</v>
      </c>
      <c r="N19" s="14" t="s">
        <v>134</v>
      </c>
      <c r="O19" s="17"/>
      <c r="P19" s="13">
        <f t="shared" si="1"/>
        <v>0</v>
      </c>
      <c r="Q19" s="13">
        <f t="shared" si="2"/>
        <v>0</v>
      </c>
      <c r="R19" s="13">
        <f t="shared" si="3"/>
        <v>0</v>
      </c>
      <c r="S19" s="13">
        <f t="shared" si="4"/>
        <v>0</v>
      </c>
      <c r="T19" s="13">
        <f t="shared" si="5"/>
        <v>2.2174356749999999</v>
      </c>
      <c r="U19" s="13">
        <f t="shared" si="19"/>
        <v>0.11087178375000001</v>
      </c>
      <c r="V19" s="13">
        <f t="shared" si="20"/>
        <v>2.10656389125</v>
      </c>
      <c r="W19" s="13">
        <f t="shared" si="6"/>
        <v>0.1053281945625</v>
      </c>
      <c r="X19" s="13">
        <f t="shared" si="7"/>
        <v>5.5435891875000006E-3</v>
      </c>
      <c r="Y19" s="13">
        <f t="shared" si="8"/>
        <v>0</v>
      </c>
      <c r="Z19" s="13">
        <f t="shared" si="9"/>
        <v>0</v>
      </c>
      <c r="AA19" s="13">
        <f t="shared" si="10"/>
        <v>0</v>
      </c>
      <c r="AB19" s="13">
        <f t="shared" si="21"/>
        <v>1.9801700577749999</v>
      </c>
      <c r="AC19" s="13">
        <f t="shared" si="22"/>
        <v>0.1053281945625</v>
      </c>
      <c r="AD19" s="13">
        <f t="shared" si="23"/>
        <v>0</v>
      </c>
      <c r="AE19" s="13">
        <f t="shared" si="24"/>
        <v>0</v>
      </c>
      <c r="AF19" s="13">
        <f t="shared" si="25"/>
        <v>0</v>
      </c>
      <c r="AG19" s="13">
        <f t="shared" si="26"/>
        <v>0</v>
      </c>
      <c r="AH19" s="13">
        <f t="shared" si="11"/>
        <v>2.10656389125E-2</v>
      </c>
      <c r="AI19" s="13">
        <f t="shared" si="12"/>
        <v>3.6985000000000006</v>
      </c>
      <c r="AJ19" s="13">
        <f t="shared" si="13"/>
        <v>2.2174356749999999</v>
      </c>
      <c r="AK19" s="13">
        <f t="shared" si="14"/>
        <v>0</v>
      </c>
      <c r="AL19" s="13">
        <f t="shared" si="15"/>
        <v>0</v>
      </c>
      <c r="AM19" s="19"/>
    </row>
    <row r="20" spans="1:39" s="18" customFormat="1" x14ac:dyDescent="0.2">
      <c r="A20" s="170"/>
      <c r="B20" s="8" t="s">
        <v>504</v>
      </c>
      <c r="C20" s="10" t="str">
        <f t="shared" si="16"/>
        <v>3</v>
      </c>
      <c r="D20" s="9" t="str">
        <f t="shared" si="16"/>
        <v>+6,62</v>
      </c>
      <c r="E20" s="10" t="s">
        <v>520</v>
      </c>
      <c r="F20" s="9" t="s">
        <v>523</v>
      </c>
      <c r="G20" s="11">
        <v>0.94</v>
      </c>
      <c r="H20" s="12">
        <f t="shared" si="17"/>
        <v>0.60099999999999998</v>
      </c>
      <c r="I20" s="12">
        <v>0.60599999999999998</v>
      </c>
      <c r="J20" s="13">
        <f t="shared" si="0"/>
        <v>0.60349999999999993</v>
      </c>
      <c r="K20" s="14">
        <v>80</v>
      </c>
      <c r="L20" s="15">
        <f t="shared" si="18"/>
        <v>0.94</v>
      </c>
      <c r="M20" s="16">
        <v>0.65</v>
      </c>
      <c r="N20" s="14" t="s">
        <v>134</v>
      </c>
      <c r="O20" s="17"/>
      <c r="P20" s="13">
        <f t="shared" si="1"/>
        <v>0</v>
      </c>
      <c r="Q20" s="13">
        <f t="shared" si="2"/>
        <v>0</v>
      </c>
      <c r="R20" s="13">
        <f t="shared" si="3"/>
        <v>0</v>
      </c>
      <c r="S20" s="13">
        <f t="shared" si="4"/>
        <v>0</v>
      </c>
      <c r="T20" s="13">
        <f t="shared" si="5"/>
        <v>0.38717542499999991</v>
      </c>
      <c r="U20" s="13">
        <f t="shared" si="19"/>
        <v>1.9358771249999997E-2</v>
      </c>
      <c r="V20" s="13">
        <f t="shared" si="20"/>
        <v>0.36781665374999989</v>
      </c>
      <c r="W20" s="13">
        <f t="shared" si="6"/>
        <v>1.8390832687499997E-2</v>
      </c>
      <c r="X20" s="13">
        <f t="shared" si="7"/>
        <v>9.6793856249999992E-4</v>
      </c>
      <c r="Y20" s="13">
        <f t="shared" si="8"/>
        <v>0</v>
      </c>
      <c r="Z20" s="13">
        <f t="shared" si="9"/>
        <v>0</v>
      </c>
      <c r="AA20" s="13">
        <f t="shared" si="10"/>
        <v>0</v>
      </c>
      <c r="AB20" s="13">
        <f t="shared" si="21"/>
        <v>0.34574765452499989</v>
      </c>
      <c r="AC20" s="13">
        <f t="shared" si="22"/>
        <v>1.8390832687499994E-2</v>
      </c>
      <c r="AD20" s="13">
        <f t="shared" si="23"/>
        <v>0</v>
      </c>
      <c r="AE20" s="13">
        <f t="shared" si="24"/>
        <v>0</v>
      </c>
      <c r="AF20" s="13">
        <f t="shared" si="25"/>
        <v>0</v>
      </c>
      <c r="AG20" s="13">
        <f t="shared" si="26"/>
        <v>0</v>
      </c>
      <c r="AH20" s="13">
        <f t="shared" si="11"/>
        <v>3.678166537499999E-3</v>
      </c>
      <c r="AI20" s="13">
        <f t="shared" si="12"/>
        <v>0.61099999999999999</v>
      </c>
      <c r="AJ20" s="13">
        <f t="shared" si="13"/>
        <v>0.38717542499999991</v>
      </c>
      <c r="AK20" s="13">
        <f t="shared" si="14"/>
        <v>0</v>
      </c>
      <c r="AL20" s="13">
        <f t="shared" si="15"/>
        <v>0</v>
      </c>
      <c r="AM20" s="19"/>
    </row>
    <row r="21" spans="1:39" s="18" customFormat="1" x14ac:dyDescent="0.2">
      <c r="A21" s="170"/>
      <c r="B21" s="8" t="s">
        <v>504</v>
      </c>
      <c r="C21" s="10" t="str">
        <f t="shared" si="16"/>
        <v>3</v>
      </c>
      <c r="D21" s="9" t="str">
        <f t="shared" si="16"/>
        <v>+7,56</v>
      </c>
      <c r="E21" s="10" t="s">
        <v>520</v>
      </c>
      <c r="F21" s="9" t="s">
        <v>524</v>
      </c>
      <c r="G21" s="11">
        <v>5.99</v>
      </c>
      <c r="H21" s="12">
        <f t="shared" si="17"/>
        <v>0.60599999999999998</v>
      </c>
      <c r="I21" s="12">
        <v>0.66100000000000003</v>
      </c>
      <c r="J21" s="13">
        <f t="shared" si="0"/>
        <v>0.63349999999999995</v>
      </c>
      <c r="K21" s="14">
        <v>80</v>
      </c>
      <c r="L21" s="15">
        <f t="shared" si="18"/>
        <v>5.99</v>
      </c>
      <c r="M21" s="16">
        <v>0.65</v>
      </c>
      <c r="N21" s="14" t="s">
        <v>134</v>
      </c>
      <c r="O21" s="17"/>
      <c r="P21" s="13">
        <f t="shared" si="1"/>
        <v>0</v>
      </c>
      <c r="Q21" s="13">
        <f t="shared" si="2"/>
        <v>0</v>
      </c>
      <c r="R21" s="13">
        <f t="shared" si="3"/>
        <v>0</v>
      </c>
      <c r="S21" s="13">
        <f t="shared" si="4"/>
        <v>0</v>
      </c>
      <c r="T21" s="13">
        <f t="shared" si="5"/>
        <v>2.5898588624999999</v>
      </c>
      <c r="U21" s="13">
        <f t="shared" si="19"/>
        <v>0.12949294312500001</v>
      </c>
      <c r="V21" s="13">
        <f t="shared" si="20"/>
        <v>2.4603659193749996</v>
      </c>
      <c r="W21" s="13">
        <f t="shared" si="6"/>
        <v>0.12301829596875</v>
      </c>
      <c r="X21" s="13">
        <f t="shared" si="7"/>
        <v>6.4746471562500008E-3</v>
      </c>
      <c r="Y21" s="13">
        <f t="shared" si="8"/>
        <v>0</v>
      </c>
      <c r="Z21" s="13">
        <f t="shared" si="9"/>
        <v>0</v>
      </c>
      <c r="AA21" s="13">
        <f t="shared" si="10"/>
        <v>0</v>
      </c>
      <c r="AB21" s="13">
        <f t="shared" si="21"/>
        <v>2.3127439642124994</v>
      </c>
      <c r="AC21" s="13">
        <f t="shared" si="22"/>
        <v>0.12301829596874998</v>
      </c>
      <c r="AD21" s="13">
        <f t="shared" si="23"/>
        <v>0</v>
      </c>
      <c r="AE21" s="13">
        <f t="shared" si="24"/>
        <v>0</v>
      </c>
      <c r="AF21" s="13">
        <f t="shared" si="25"/>
        <v>0</v>
      </c>
      <c r="AG21" s="13">
        <f t="shared" si="26"/>
        <v>0</v>
      </c>
      <c r="AH21" s="13">
        <f t="shared" si="11"/>
        <v>2.4603659193749995E-2</v>
      </c>
      <c r="AI21" s="13">
        <f t="shared" si="12"/>
        <v>3.8935000000000004</v>
      </c>
      <c r="AJ21" s="13">
        <f t="shared" si="13"/>
        <v>2.5898588624999999</v>
      </c>
      <c r="AK21" s="13">
        <f t="shared" si="14"/>
        <v>0</v>
      </c>
      <c r="AL21" s="13">
        <f t="shared" si="15"/>
        <v>0</v>
      </c>
      <c r="AM21" s="19"/>
    </row>
    <row r="22" spans="1:39" s="18" customFormat="1" x14ac:dyDescent="0.2">
      <c r="A22" s="170"/>
      <c r="B22" s="8" t="s">
        <v>504</v>
      </c>
      <c r="C22" s="10" t="str">
        <f t="shared" si="16"/>
        <v>3</v>
      </c>
      <c r="D22" s="9" t="str">
        <f t="shared" si="16"/>
        <v>+13,55</v>
      </c>
      <c r="E22" s="10" t="s">
        <v>520</v>
      </c>
      <c r="F22" s="9" t="s">
        <v>525</v>
      </c>
      <c r="G22" s="11">
        <v>6</v>
      </c>
      <c r="H22" s="12">
        <f t="shared" si="17"/>
        <v>0.66100000000000003</v>
      </c>
      <c r="I22" s="12">
        <v>0.7</v>
      </c>
      <c r="J22" s="13">
        <f t="shared" si="0"/>
        <v>0.68049999999999999</v>
      </c>
      <c r="K22" s="14">
        <v>80</v>
      </c>
      <c r="L22" s="15">
        <f t="shared" si="18"/>
        <v>6</v>
      </c>
      <c r="M22" s="16">
        <v>0.65</v>
      </c>
      <c r="N22" s="14" t="s">
        <v>134</v>
      </c>
      <c r="O22" s="17"/>
      <c r="P22" s="13">
        <f t="shared" si="1"/>
        <v>0</v>
      </c>
      <c r="Q22" s="13">
        <f t="shared" si="2"/>
        <v>0</v>
      </c>
      <c r="R22" s="13">
        <f t="shared" si="3"/>
        <v>0</v>
      </c>
      <c r="S22" s="13">
        <f t="shared" si="4"/>
        <v>0</v>
      </c>
      <c r="T22" s="13">
        <f t="shared" si="5"/>
        <v>2.7866474999999999</v>
      </c>
      <c r="U22" s="13">
        <f t="shared" si="19"/>
        <v>0.13933237500000001</v>
      </c>
      <c r="V22" s="13">
        <f t="shared" si="20"/>
        <v>2.647315125</v>
      </c>
      <c r="W22" s="13">
        <f t="shared" si="6"/>
        <v>0.13236575624999999</v>
      </c>
      <c r="X22" s="13">
        <f t="shared" si="7"/>
        <v>6.9666187500000004E-3</v>
      </c>
      <c r="Y22" s="13">
        <f t="shared" si="8"/>
        <v>0</v>
      </c>
      <c r="Z22" s="13">
        <f t="shared" si="9"/>
        <v>0</v>
      </c>
      <c r="AA22" s="13">
        <f t="shared" si="10"/>
        <v>0</v>
      </c>
      <c r="AB22" s="13">
        <f t="shared" si="21"/>
        <v>2.4884762174999997</v>
      </c>
      <c r="AC22" s="13">
        <f t="shared" si="22"/>
        <v>0.13236575624999999</v>
      </c>
      <c r="AD22" s="13">
        <f t="shared" si="23"/>
        <v>0</v>
      </c>
      <c r="AE22" s="13">
        <f t="shared" si="24"/>
        <v>0</v>
      </c>
      <c r="AF22" s="13">
        <f t="shared" si="25"/>
        <v>0</v>
      </c>
      <c r="AG22" s="13">
        <f t="shared" si="26"/>
        <v>0</v>
      </c>
      <c r="AH22" s="13">
        <f t="shared" si="11"/>
        <v>2.647315125E-2</v>
      </c>
      <c r="AI22" s="13">
        <f t="shared" si="12"/>
        <v>3.9000000000000004</v>
      </c>
      <c r="AJ22" s="13">
        <f t="shared" si="13"/>
        <v>2.7866474999999999</v>
      </c>
      <c r="AK22" s="13">
        <f t="shared" si="14"/>
        <v>0</v>
      </c>
      <c r="AL22" s="13">
        <f t="shared" si="15"/>
        <v>0</v>
      </c>
      <c r="AM22" s="19"/>
    </row>
    <row r="23" spans="1:39" s="18" customFormat="1" x14ac:dyDescent="0.2">
      <c r="A23" s="170"/>
      <c r="B23" s="8" t="s">
        <v>504</v>
      </c>
      <c r="C23" s="10" t="str">
        <f t="shared" si="16"/>
        <v>3</v>
      </c>
      <c r="D23" s="9" t="str">
        <f t="shared" si="16"/>
        <v>+19,55</v>
      </c>
      <c r="E23" s="10" t="s">
        <v>526</v>
      </c>
      <c r="F23" s="9" t="s">
        <v>527</v>
      </c>
      <c r="G23" s="11">
        <v>6</v>
      </c>
      <c r="H23" s="12">
        <f t="shared" si="17"/>
        <v>0.7</v>
      </c>
      <c r="I23" s="12">
        <v>0.7</v>
      </c>
      <c r="J23" s="13">
        <f t="shared" si="0"/>
        <v>0.7</v>
      </c>
      <c r="K23" s="14">
        <v>80</v>
      </c>
      <c r="L23" s="15">
        <f t="shared" si="18"/>
        <v>6</v>
      </c>
      <c r="M23" s="16">
        <v>0.65</v>
      </c>
      <c r="N23" s="14" t="s">
        <v>134</v>
      </c>
      <c r="O23" s="17"/>
      <c r="P23" s="13">
        <f t="shared" si="1"/>
        <v>0</v>
      </c>
      <c r="Q23" s="13">
        <f t="shared" si="2"/>
        <v>0</v>
      </c>
      <c r="R23" s="13">
        <f t="shared" si="3"/>
        <v>0</v>
      </c>
      <c r="S23" s="13">
        <f t="shared" si="4"/>
        <v>0</v>
      </c>
      <c r="T23" s="13">
        <f t="shared" si="5"/>
        <v>2.8664999999999998</v>
      </c>
      <c r="U23" s="13">
        <f t="shared" si="19"/>
        <v>0.14332500000000001</v>
      </c>
      <c r="V23" s="13">
        <f t="shared" si="20"/>
        <v>2.7231749999999999</v>
      </c>
      <c r="W23" s="13">
        <f t="shared" si="6"/>
        <v>0.13615875</v>
      </c>
      <c r="X23" s="13">
        <f t="shared" si="7"/>
        <v>7.1662500000000007E-3</v>
      </c>
      <c r="Y23" s="13">
        <f t="shared" si="8"/>
        <v>0</v>
      </c>
      <c r="Z23" s="13">
        <f t="shared" si="9"/>
        <v>0</v>
      </c>
      <c r="AA23" s="13">
        <f t="shared" si="10"/>
        <v>0</v>
      </c>
      <c r="AB23" s="13">
        <f t="shared" si="21"/>
        <v>2.5597844999999997</v>
      </c>
      <c r="AC23" s="13">
        <f t="shared" si="22"/>
        <v>0.13615875</v>
      </c>
      <c r="AD23" s="13">
        <f t="shared" si="23"/>
        <v>0</v>
      </c>
      <c r="AE23" s="13">
        <f t="shared" si="24"/>
        <v>0</v>
      </c>
      <c r="AF23" s="13">
        <f t="shared" si="25"/>
        <v>0</v>
      </c>
      <c r="AG23" s="13">
        <f t="shared" si="26"/>
        <v>0</v>
      </c>
      <c r="AH23" s="13">
        <f t="shared" si="11"/>
        <v>2.7231749999999999E-2</v>
      </c>
      <c r="AI23" s="13">
        <f t="shared" si="12"/>
        <v>3.9000000000000004</v>
      </c>
      <c r="AJ23" s="13">
        <f t="shared" si="13"/>
        <v>2.8664999999999998</v>
      </c>
      <c r="AK23" s="13">
        <f t="shared" si="14"/>
        <v>0</v>
      </c>
      <c r="AL23" s="13">
        <f t="shared" si="15"/>
        <v>0</v>
      </c>
      <c r="AM23" s="19"/>
    </row>
    <row r="24" spans="1:39" s="18" customFormat="1" x14ac:dyDescent="0.2">
      <c r="A24" s="170"/>
      <c r="B24" s="8" t="s">
        <v>504</v>
      </c>
      <c r="C24" s="10" t="str">
        <f t="shared" si="16"/>
        <v>4</v>
      </c>
      <c r="D24" s="9" t="str">
        <f t="shared" si="16"/>
        <v>+5,55</v>
      </c>
      <c r="E24" s="10" t="s">
        <v>526</v>
      </c>
      <c r="F24" s="9" t="s">
        <v>528</v>
      </c>
      <c r="G24" s="11">
        <v>3.87</v>
      </c>
      <c r="H24" s="12">
        <f t="shared" si="17"/>
        <v>0.7</v>
      </c>
      <c r="I24" s="12">
        <v>0.70799999999999996</v>
      </c>
      <c r="J24" s="13">
        <f t="shared" si="0"/>
        <v>0.70399999999999996</v>
      </c>
      <c r="K24" s="14">
        <v>80</v>
      </c>
      <c r="L24" s="15">
        <f t="shared" si="18"/>
        <v>3.87</v>
      </c>
      <c r="M24" s="16">
        <v>0.65</v>
      </c>
      <c r="N24" s="14" t="s">
        <v>134</v>
      </c>
      <c r="O24" s="17"/>
      <c r="P24" s="13">
        <f t="shared" si="1"/>
        <v>0</v>
      </c>
      <c r="Q24" s="13">
        <f t="shared" si="2"/>
        <v>0</v>
      </c>
      <c r="R24" s="13">
        <f t="shared" si="3"/>
        <v>0</v>
      </c>
      <c r="S24" s="13">
        <f t="shared" si="4"/>
        <v>0</v>
      </c>
      <c r="T24" s="13">
        <f t="shared" si="5"/>
        <v>1.8594575999999998</v>
      </c>
      <c r="U24" s="13">
        <f t="shared" si="19"/>
        <v>9.2972879999999994E-2</v>
      </c>
      <c r="V24" s="13">
        <f t="shared" si="20"/>
        <v>1.7664847199999998</v>
      </c>
      <c r="W24" s="13">
        <f t="shared" si="6"/>
        <v>8.8324235999999987E-2</v>
      </c>
      <c r="X24" s="13">
        <f t="shared" si="7"/>
        <v>4.6486439999999995E-3</v>
      </c>
      <c r="Y24" s="13">
        <f t="shared" si="8"/>
        <v>0</v>
      </c>
      <c r="Z24" s="13">
        <f t="shared" si="9"/>
        <v>0</v>
      </c>
      <c r="AA24" s="13">
        <f t="shared" si="10"/>
        <v>0</v>
      </c>
      <c r="AB24" s="13">
        <f t="shared" si="21"/>
        <v>1.6604956367999997</v>
      </c>
      <c r="AC24" s="13">
        <f t="shared" si="22"/>
        <v>8.8324236E-2</v>
      </c>
      <c r="AD24" s="13">
        <f t="shared" si="23"/>
        <v>0</v>
      </c>
      <c r="AE24" s="13">
        <f t="shared" si="24"/>
        <v>0</v>
      </c>
      <c r="AF24" s="13">
        <f t="shared" si="25"/>
        <v>0</v>
      </c>
      <c r="AG24" s="13">
        <f t="shared" si="26"/>
        <v>0</v>
      </c>
      <c r="AH24" s="13">
        <f t="shared" si="11"/>
        <v>1.7664847199999997E-2</v>
      </c>
      <c r="AI24" s="13">
        <f t="shared" si="12"/>
        <v>2.5155000000000003</v>
      </c>
      <c r="AJ24" s="13">
        <f t="shared" si="13"/>
        <v>1.8594575999999998</v>
      </c>
      <c r="AK24" s="13">
        <f t="shared" si="14"/>
        <v>0</v>
      </c>
      <c r="AL24" s="13">
        <f t="shared" si="15"/>
        <v>0</v>
      </c>
      <c r="AM24" s="19"/>
    </row>
    <row r="25" spans="1:39" s="18" customFormat="1" x14ac:dyDescent="0.2">
      <c r="A25" s="170"/>
      <c r="B25" s="8" t="s">
        <v>504</v>
      </c>
      <c r="C25" s="10" t="str">
        <f t="shared" si="16"/>
        <v>4</v>
      </c>
      <c r="D25" s="9" t="str">
        <f t="shared" si="16"/>
        <v>+9,42</v>
      </c>
      <c r="E25" s="10" t="s">
        <v>526</v>
      </c>
      <c r="F25" s="9" t="s">
        <v>529</v>
      </c>
      <c r="G25" s="11">
        <v>1.04</v>
      </c>
      <c r="H25" s="12">
        <f t="shared" si="17"/>
        <v>0.70799999999999996</v>
      </c>
      <c r="I25" s="12">
        <v>0.70199999999999996</v>
      </c>
      <c r="J25" s="13">
        <f t="shared" si="0"/>
        <v>0.70499999999999996</v>
      </c>
      <c r="K25" s="14">
        <v>80</v>
      </c>
      <c r="L25" s="15">
        <f t="shared" si="18"/>
        <v>1.04</v>
      </c>
      <c r="M25" s="16">
        <v>0.65</v>
      </c>
      <c r="N25" s="14" t="s">
        <v>134</v>
      </c>
      <c r="O25" s="17"/>
      <c r="P25" s="13">
        <f t="shared" si="1"/>
        <v>0</v>
      </c>
      <c r="Q25" s="13">
        <f t="shared" si="2"/>
        <v>0</v>
      </c>
      <c r="R25" s="13">
        <f t="shared" si="3"/>
        <v>0</v>
      </c>
      <c r="S25" s="13">
        <f t="shared" si="4"/>
        <v>0</v>
      </c>
      <c r="T25" s="13">
        <f t="shared" si="5"/>
        <v>0.50040899999999999</v>
      </c>
      <c r="U25" s="13">
        <f t="shared" si="19"/>
        <v>2.502045E-2</v>
      </c>
      <c r="V25" s="13">
        <f t="shared" si="20"/>
        <v>0.47538854999999997</v>
      </c>
      <c r="W25" s="13">
        <f t="shared" si="6"/>
        <v>2.3769427499999999E-2</v>
      </c>
      <c r="X25" s="13">
        <f t="shared" si="7"/>
        <v>1.2510225E-3</v>
      </c>
      <c r="Y25" s="13">
        <f t="shared" si="8"/>
        <v>0</v>
      </c>
      <c r="Z25" s="13">
        <f t="shared" si="9"/>
        <v>0</v>
      </c>
      <c r="AA25" s="13">
        <f t="shared" si="10"/>
        <v>0</v>
      </c>
      <c r="AB25" s="13">
        <f t="shared" si="21"/>
        <v>0.44686523699999992</v>
      </c>
      <c r="AC25" s="13">
        <f t="shared" si="22"/>
        <v>2.3769427499999999E-2</v>
      </c>
      <c r="AD25" s="13">
        <f t="shared" si="23"/>
        <v>0</v>
      </c>
      <c r="AE25" s="13">
        <f t="shared" si="24"/>
        <v>0</v>
      </c>
      <c r="AF25" s="13">
        <f t="shared" si="25"/>
        <v>0</v>
      </c>
      <c r="AG25" s="13">
        <f t="shared" si="26"/>
        <v>0</v>
      </c>
      <c r="AH25" s="13">
        <f t="shared" si="11"/>
        <v>4.7538855E-3</v>
      </c>
      <c r="AI25" s="13">
        <f t="shared" si="12"/>
        <v>0.67600000000000005</v>
      </c>
      <c r="AJ25" s="13">
        <f t="shared" si="13"/>
        <v>0.50040899999999999</v>
      </c>
      <c r="AK25" s="13">
        <f t="shared" si="14"/>
        <v>0</v>
      </c>
      <c r="AL25" s="13">
        <f t="shared" si="15"/>
        <v>0</v>
      </c>
      <c r="AM25" s="19"/>
    </row>
    <row r="26" spans="1:39" s="18" customFormat="1" x14ac:dyDescent="0.2">
      <c r="A26" s="170"/>
      <c r="B26" s="8" t="s">
        <v>504</v>
      </c>
      <c r="C26" s="10" t="str">
        <f t="shared" si="16"/>
        <v>4</v>
      </c>
      <c r="D26" s="9" t="str">
        <f t="shared" si="16"/>
        <v>+10,46</v>
      </c>
      <c r="E26" s="10" t="s">
        <v>526</v>
      </c>
      <c r="F26" s="9" t="s">
        <v>530</v>
      </c>
      <c r="G26" s="11">
        <v>4.45</v>
      </c>
      <c r="H26" s="12">
        <f t="shared" si="17"/>
        <v>0.70199999999999996</v>
      </c>
      <c r="I26" s="12">
        <v>0.81599999999999995</v>
      </c>
      <c r="J26" s="13">
        <f t="shared" si="0"/>
        <v>0.7589999999999999</v>
      </c>
      <c r="K26" s="14">
        <v>80</v>
      </c>
      <c r="L26" s="15">
        <f t="shared" si="18"/>
        <v>4.45</v>
      </c>
      <c r="M26" s="16">
        <v>0.65</v>
      </c>
      <c r="N26" s="14" t="s">
        <v>134</v>
      </c>
      <c r="O26" s="17"/>
      <c r="P26" s="13">
        <f t="shared" si="1"/>
        <v>0</v>
      </c>
      <c r="Q26" s="13">
        <f t="shared" si="2"/>
        <v>0</v>
      </c>
      <c r="R26" s="13">
        <f t="shared" si="3"/>
        <v>0</v>
      </c>
      <c r="S26" s="13">
        <f t="shared" si="4"/>
        <v>0</v>
      </c>
      <c r="T26" s="13">
        <f t="shared" si="5"/>
        <v>2.305177875</v>
      </c>
      <c r="U26" s="13">
        <f t="shared" si="19"/>
        <v>0.11525889375000001</v>
      </c>
      <c r="V26" s="13">
        <f t="shared" si="20"/>
        <v>2.18991898125</v>
      </c>
      <c r="W26" s="13">
        <f t="shared" si="6"/>
        <v>0.1094959490625</v>
      </c>
      <c r="X26" s="13">
        <f t="shared" si="7"/>
        <v>5.7629446875000004E-3</v>
      </c>
      <c r="Y26" s="13">
        <f>IF(AND($J26&lt;=3,$J26&gt;1.5),U26*0.5,0)</f>
        <v>0</v>
      </c>
      <c r="Z26" s="13">
        <f t="shared" si="9"/>
        <v>0</v>
      </c>
      <c r="AA26" s="13">
        <f t="shared" si="10"/>
        <v>0</v>
      </c>
      <c r="AB26" s="13">
        <f t="shared" si="21"/>
        <v>2.0585238423749996</v>
      </c>
      <c r="AC26" s="13">
        <f t="shared" si="22"/>
        <v>0.1094959490625</v>
      </c>
      <c r="AD26" s="13">
        <f t="shared" si="23"/>
        <v>0</v>
      </c>
      <c r="AE26" s="13">
        <f t="shared" si="24"/>
        <v>0</v>
      </c>
      <c r="AF26" s="13">
        <f t="shared" si="25"/>
        <v>0</v>
      </c>
      <c r="AG26" s="13">
        <f t="shared" si="26"/>
        <v>0</v>
      </c>
      <c r="AH26" s="13">
        <f t="shared" si="11"/>
        <v>2.1899189812500001E-2</v>
      </c>
      <c r="AI26" s="13">
        <f t="shared" si="12"/>
        <v>2.8925000000000001</v>
      </c>
      <c r="AJ26" s="13">
        <f t="shared" si="13"/>
        <v>2.305177875</v>
      </c>
      <c r="AK26" s="13">
        <f t="shared" si="14"/>
        <v>0</v>
      </c>
      <c r="AL26" s="13">
        <f t="shared" si="15"/>
        <v>0</v>
      </c>
      <c r="AM26" s="19"/>
    </row>
    <row r="27" spans="1:39" s="18" customFormat="1" x14ac:dyDescent="0.2">
      <c r="A27" s="170"/>
      <c r="B27" s="8" t="s">
        <v>504</v>
      </c>
      <c r="C27" s="10" t="str">
        <f t="shared" si="16"/>
        <v>4</v>
      </c>
      <c r="D27" s="9" t="str">
        <f t="shared" si="16"/>
        <v>+14,91</v>
      </c>
      <c r="E27" s="10" t="s">
        <v>526</v>
      </c>
      <c r="F27" s="9" t="s">
        <v>531</v>
      </c>
      <c r="G27" s="11">
        <v>1.04</v>
      </c>
      <c r="H27" s="12">
        <f t="shared" si="17"/>
        <v>0.81599999999999995</v>
      </c>
      <c r="I27" s="12">
        <v>0.79500000000000004</v>
      </c>
      <c r="J27" s="13">
        <f t="shared" si="0"/>
        <v>0.80549999999999999</v>
      </c>
      <c r="K27" s="14">
        <v>80</v>
      </c>
      <c r="L27" s="15">
        <f t="shared" si="18"/>
        <v>1.04</v>
      </c>
      <c r="M27" s="16">
        <v>0.65</v>
      </c>
      <c r="N27" s="14" t="s">
        <v>134</v>
      </c>
      <c r="O27" s="17"/>
      <c r="P27" s="13">
        <f t="shared" si="1"/>
        <v>0</v>
      </c>
      <c r="Q27" s="13">
        <f t="shared" si="2"/>
        <v>0</v>
      </c>
      <c r="R27" s="13">
        <f t="shared" si="3"/>
        <v>0</v>
      </c>
      <c r="S27" s="13">
        <f t="shared" si="4"/>
        <v>0</v>
      </c>
      <c r="T27" s="13">
        <f t="shared" si="5"/>
        <v>0.57174390000000008</v>
      </c>
      <c r="U27" s="13">
        <f t="shared" si="19"/>
        <v>2.8587195000000006E-2</v>
      </c>
      <c r="V27" s="13">
        <f t="shared" si="20"/>
        <v>0.54315670500000002</v>
      </c>
      <c r="W27" s="13">
        <f t="shared" si="6"/>
        <v>2.7157835250000005E-2</v>
      </c>
      <c r="X27" s="13">
        <f t="shared" si="7"/>
        <v>1.4293597500000003E-3</v>
      </c>
      <c r="Y27" s="13">
        <f>IF(AND($J27&lt;=3,$J27&gt;1.5),U27*0.95,0)</f>
        <v>0</v>
      </c>
      <c r="Z27" s="13">
        <f>IF(AND($J27&lt;=3,$J27&gt;1.5),U27*0.05,0)</f>
        <v>0</v>
      </c>
      <c r="AA27" s="13">
        <f t="shared" si="10"/>
        <v>0</v>
      </c>
      <c r="AB27" s="13">
        <f t="shared" si="21"/>
        <v>0.51056730269999995</v>
      </c>
      <c r="AC27" s="13">
        <f t="shared" si="22"/>
        <v>2.7157835250000002E-2</v>
      </c>
      <c r="AD27" s="13">
        <f>IF(AND($J27&gt;1.5,$J27&lt;=3),V27*0.77,0)</f>
        <v>0</v>
      </c>
      <c r="AE27" s="13">
        <f>IF(AND($J27&gt;1.5,$J27&lt;=3),V27*0.2,0)</f>
        <v>0</v>
      </c>
      <c r="AF27" s="13">
        <f t="shared" si="25"/>
        <v>0</v>
      </c>
      <c r="AG27" s="13">
        <f t="shared" si="26"/>
        <v>0</v>
      </c>
      <c r="AH27" s="13">
        <f t="shared" si="11"/>
        <v>5.4315670500000007E-3</v>
      </c>
      <c r="AI27" s="13">
        <f t="shared" si="12"/>
        <v>0.67600000000000005</v>
      </c>
      <c r="AJ27" s="13">
        <f t="shared" si="13"/>
        <v>0.57174390000000008</v>
      </c>
      <c r="AK27" s="13">
        <f t="shared" si="14"/>
        <v>0</v>
      </c>
      <c r="AL27" s="13">
        <f t="shared" si="15"/>
        <v>0</v>
      </c>
      <c r="AM27" s="19"/>
    </row>
    <row r="28" spans="1:39" s="18" customFormat="1" x14ac:dyDescent="0.2">
      <c r="A28" s="170"/>
      <c r="B28" s="8" t="s">
        <v>504</v>
      </c>
      <c r="C28" s="10" t="str">
        <f t="shared" si="16"/>
        <v>4</v>
      </c>
      <c r="D28" s="9" t="str">
        <f t="shared" si="16"/>
        <v>+15,95</v>
      </c>
      <c r="E28" s="10" t="s">
        <v>532</v>
      </c>
      <c r="F28" s="9" t="s">
        <v>533</v>
      </c>
      <c r="G28" s="11">
        <v>4.63</v>
      </c>
      <c r="H28" s="12">
        <f t="shared" si="17"/>
        <v>0.79500000000000004</v>
      </c>
      <c r="I28" s="12">
        <v>0.7</v>
      </c>
      <c r="J28" s="13">
        <f t="shared" si="0"/>
        <v>0.74750000000000005</v>
      </c>
      <c r="K28" s="14">
        <v>80</v>
      </c>
      <c r="L28" s="15">
        <f t="shared" si="18"/>
        <v>4.63</v>
      </c>
      <c r="M28" s="16">
        <v>0.65</v>
      </c>
      <c r="N28" s="14" t="s">
        <v>134</v>
      </c>
      <c r="O28" s="17"/>
      <c r="P28" s="13">
        <f t="shared" si="1"/>
        <v>0</v>
      </c>
      <c r="Q28" s="13">
        <f t="shared" si="2"/>
        <v>0</v>
      </c>
      <c r="R28" s="13">
        <f t="shared" si="3"/>
        <v>0</v>
      </c>
      <c r="S28" s="13">
        <f t="shared" si="4"/>
        <v>0</v>
      </c>
      <c r="T28" s="13">
        <f t="shared" si="5"/>
        <v>2.3620813125</v>
      </c>
      <c r="U28" s="13">
        <f t="shared" si="19"/>
        <v>0.118104065625</v>
      </c>
      <c r="V28" s="13">
        <f t="shared" si="20"/>
        <v>2.2439772468749997</v>
      </c>
      <c r="W28" s="13">
        <f t="shared" si="6"/>
        <v>0.11219886234375</v>
      </c>
      <c r="X28" s="13">
        <f t="shared" si="7"/>
        <v>5.9052032812500002E-3</v>
      </c>
      <c r="Y28" s="13">
        <f t="shared" ref="Y28" si="27">IF(AND($J28&lt;=3,$J28&gt;1.5),U28*0.95,0)</f>
        <v>0</v>
      </c>
      <c r="Z28" s="13">
        <f t="shared" ref="Z28" si="28">IF(AND($J28&lt;=3,$J28&gt;1.5),U28*0.05,0)</f>
        <v>0</v>
      </c>
      <c r="AA28" s="13">
        <f t="shared" si="10"/>
        <v>0</v>
      </c>
      <c r="AB28" s="13">
        <f t="shared" si="21"/>
        <v>2.1093386120624995</v>
      </c>
      <c r="AC28" s="13">
        <f t="shared" si="22"/>
        <v>0.11219886234374998</v>
      </c>
      <c r="AD28" s="13">
        <f t="shared" ref="AD28" si="29">IF(AND($J28&gt;1.5,$J28&lt;=3),V28*0.77,0)</f>
        <v>0</v>
      </c>
      <c r="AE28" s="13">
        <f t="shared" ref="AE28" si="30">IF(AND($J28&gt;1.5,$J28&lt;=3),V28*0.2,0)</f>
        <v>0</v>
      </c>
      <c r="AF28" s="13">
        <f t="shared" si="25"/>
        <v>0</v>
      </c>
      <c r="AG28" s="13">
        <f t="shared" si="26"/>
        <v>0</v>
      </c>
      <c r="AH28" s="13">
        <f t="shared" si="11"/>
        <v>2.2439772468749997E-2</v>
      </c>
      <c r="AI28" s="13">
        <f t="shared" si="12"/>
        <v>3.0095000000000001</v>
      </c>
      <c r="AJ28" s="13">
        <f t="shared" si="13"/>
        <v>2.3620813125</v>
      </c>
      <c r="AK28" s="13">
        <f t="shared" si="14"/>
        <v>0</v>
      </c>
      <c r="AL28" s="13">
        <f t="shared" si="15"/>
        <v>0</v>
      </c>
      <c r="AM28" s="19"/>
    </row>
    <row r="29" spans="1:39" x14ac:dyDescent="0.2">
      <c r="B29" s="322"/>
      <c r="C29" s="323"/>
      <c r="D29" s="323"/>
      <c r="E29" s="323"/>
      <c r="F29" s="323"/>
      <c r="G29" s="323"/>
      <c r="H29" s="323"/>
      <c r="I29" s="323"/>
      <c r="J29" s="323"/>
      <c r="K29" s="323"/>
      <c r="L29" s="323"/>
      <c r="M29" s="323"/>
      <c r="N29" s="323"/>
      <c r="O29" s="323"/>
      <c r="P29" s="323"/>
      <c r="Q29" s="323"/>
      <c r="R29" s="323"/>
      <c r="S29" s="323"/>
      <c r="T29" s="323"/>
      <c r="U29" s="323"/>
      <c r="V29" s="323"/>
      <c r="W29" s="323"/>
      <c r="X29" s="323"/>
      <c r="Y29" s="323"/>
      <c r="Z29" s="323"/>
      <c r="AA29" s="323"/>
      <c r="AB29" s="323"/>
      <c r="AC29" s="323"/>
      <c r="AD29" s="323"/>
      <c r="AE29" s="323"/>
      <c r="AF29" s="323"/>
      <c r="AG29" s="323"/>
      <c r="AH29" s="323"/>
      <c r="AI29" s="323"/>
      <c r="AJ29" s="323"/>
      <c r="AK29" s="323"/>
      <c r="AL29" s="324"/>
      <c r="AM29" s="20"/>
    </row>
    <row r="30" spans="1:39" s="173" customFormat="1" x14ac:dyDescent="0.2">
      <c r="B30" s="325" t="s">
        <v>9</v>
      </c>
      <c r="C30" s="326"/>
      <c r="D30" s="326"/>
      <c r="E30" s="326"/>
      <c r="F30" s="327"/>
      <c r="G30" s="169">
        <f>SUM(G5:G28)</f>
        <v>100.58000000000001</v>
      </c>
      <c r="H30" s="21"/>
      <c r="I30" s="22"/>
      <c r="J30" s="23"/>
      <c r="K30" s="21"/>
      <c r="L30" s="169">
        <f>SUM(L5:L28)</f>
        <v>100.58000000000001</v>
      </c>
      <c r="M30" s="22"/>
      <c r="N30" s="23"/>
      <c r="O30" s="169">
        <f t="shared" ref="O30:AJ30" si="31">SUM(O5:O28)</f>
        <v>0</v>
      </c>
      <c r="P30" s="169">
        <f t="shared" si="31"/>
        <v>0</v>
      </c>
      <c r="Q30" s="169">
        <f t="shared" si="31"/>
        <v>0</v>
      </c>
      <c r="R30" s="24">
        <f t="shared" si="31"/>
        <v>0</v>
      </c>
      <c r="S30" s="169">
        <f t="shared" si="31"/>
        <v>0</v>
      </c>
      <c r="T30" s="169">
        <f t="shared" si="31"/>
        <v>46.167388312500009</v>
      </c>
      <c r="U30" s="169">
        <f t="shared" si="31"/>
        <v>2.3083694156250001</v>
      </c>
      <c r="V30" s="169">
        <f t="shared" si="31"/>
        <v>43.859018896875</v>
      </c>
      <c r="W30" s="169">
        <f t="shared" si="31"/>
        <v>2.1929509448437501</v>
      </c>
      <c r="X30" s="169">
        <f t="shared" si="31"/>
        <v>0.11541847078125</v>
      </c>
      <c r="Y30" s="169">
        <f t="shared" si="31"/>
        <v>0</v>
      </c>
      <c r="Z30" s="169">
        <f t="shared" si="31"/>
        <v>0</v>
      </c>
      <c r="AA30" s="169">
        <f t="shared" si="31"/>
        <v>0</v>
      </c>
      <c r="AB30" s="169">
        <f t="shared" si="31"/>
        <v>41.227477763062488</v>
      </c>
      <c r="AC30" s="169">
        <f t="shared" si="31"/>
        <v>2.1929509448437501</v>
      </c>
      <c r="AD30" s="169">
        <f t="shared" si="31"/>
        <v>0</v>
      </c>
      <c r="AE30" s="169">
        <f t="shared" si="31"/>
        <v>0</v>
      </c>
      <c r="AF30" s="169">
        <f t="shared" si="31"/>
        <v>0</v>
      </c>
      <c r="AG30" s="169">
        <f t="shared" si="31"/>
        <v>0</v>
      </c>
      <c r="AH30" s="169">
        <f t="shared" si="31"/>
        <v>0.43859018896875007</v>
      </c>
      <c r="AI30" s="169">
        <f t="shared" si="31"/>
        <v>65.376999999999995</v>
      </c>
      <c r="AJ30" s="169">
        <f t="shared" si="31"/>
        <v>46.167388312500009</v>
      </c>
      <c r="AK30" s="169">
        <f>SUM(AK5:AK28)/5</f>
        <v>0</v>
      </c>
      <c r="AL30" s="169">
        <f>SUM(AL5:AL28)/5</f>
        <v>0</v>
      </c>
      <c r="AM30" s="25"/>
    </row>
    <row r="31" spans="1:39" x14ac:dyDescent="0.2">
      <c r="O31" s="171"/>
      <c r="P31" s="324" t="s">
        <v>29</v>
      </c>
      <c r="Q31" s="309"/>
      <c r="R31" s="309"/>
      <c r="S31" s="322"/>
      <c r="T31" s="123"/>
      <c r="U31" s="173"/>
      <c r="V31" s="173"/>
      <c r="W31" s="328"/>
      <c r="X31" s="328"/>
      <c r="Y31" s="328"/>
      <c r="Z31" s="328"/>
      <c r="AA31" s="328"/>
      <c r="AB31" s="328"/>
      <c r="AC31" s="328"/>
      <c r="AD31" s="328"/>
      <c r="AE31" s="328"/>
      <c r="AF31" s="328"/>
      <c r="AG31" s="173"/>
      <c r="AH31" s="173"/>
      <c r="AK31" s="26"/>
      <c r="AL31" s="26"/>
    </row>
    <row r="32" spans="1:39" x14ac:dyDescent="0.2">
      <c r="B32" s="311"/>
      <c r="C32" s="311"/>
      <c r="D32" s="311"/>
      <c r="E32" s="311"/>
      <c r="F32" s="311"/>
      <c r="G32" s="32"/>
      <c r="K32" s="2"/>
      <c r="P32" s="314">
        <f>(P30)*0.05</f>
        <v>0</v>
      </c>
      <c r="Q32" s="314"/>
      <c r="R32" s="314"/>
      <c r="S32" s="315"/>
      <c r="T32" s="122"/>
      <c r="U32" s="173"/>
      <c r="V32" s="173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K32" s="26"/>
      <c r="AL32" s="26"/>
    </row>
    <row r="33" spans="2:38" x14ac:dyDescent="0.2">
      <c r="B33" s="311"/>
      <c r="C33" s="311"/>
      <c r="D33" s="311"/>
      <c r="E33" s="311"/>
      <c r="F33" s="311"/>
      <c r="G33" s="32"/>
      <c r="I33" s="29"/>
      <c r="W33" s="309" t="s">
        <v>30</v>
      </c>
      <c r="X33" s="309"/>
      <c r="Y33" s="309"/>
      <c r="Z33" s="309"/>
      <c r="AA33" s="309"/>
      <c r="AB33" s="309"/>
      <c r="AC33" s="309"/>
      <c r="AG33" s="173"/>
      <c r="AH33" s="173"/>
    </row>
    <row r="34" spans="2:38" x14ac:dyDescent="0.2">
      <c r="W34" s="310">
        <f>(X30+Z30+AC30+AE30)*1.3</f>
        <v>3.0008802403125001</v>
      </c>
      <c r="X34" s="310"/>
      <c r="Y34" s="310"/>
      <c r="Z34" s="310"/>
      <c r="AA34" s="310"/>
      <c r="AB34" s="310"/>
      <c r="AC34" s="310"/>
      <c r="AD34" s="2"/>
      <c r="AE34" s="2"/>
      <c r="AF34" s="2"/>
      <c r="AG34" s="30"/>
      <c r="AH34" s="30"/>
      <c r="AK34" s="2"/>
      <c r="AL34" s="2"/>
    </row>
    <row r="35" spans="2:38" x14ac:dyDescent="0.2">
      <c r="W35" s="309" t="s">
        <v>31</v>
      </c>
      <c r="X35" s="309"/>
      <c r="Y35" s="309"/>
      <c r="Z35" s="309"/>
      <c r="AA35" s="309"/>
      <c r="AB35" s="309"/>
      <c r="AC35" s="309"/>
      <c r="AG35" s="173"/>
      <c r="AH35" s="173"/>
    </row>
    <row r="36" spans="2:38" x14ac:dyDescent="0.2">
      <c r="W36" s="310">
        <f>(AH30)*1.5</f>
        <v>0.65788528345312514</v>
      </c>
      <c r="X36" s="310"/>
      <c r="Y36" s="310"/>
      <c r="Z36" s="310"/>
      <c r="AA36" s="310"/>
      <c r="AB36" s="310"/>
      <c r="AC36" s="310"/>
      <c r="AD36" s="2"/>
      <c r="AE36" s="2"/>
      <c r="AF36" s="2"/>
      <c r="AG36" s="30"/>
      <c r="AH36" s="30"/>
      <c r="AK36" s="2"/>
      <c r="AL36" s="2"/>
    </row>
    <row r="37" spans="2:38" x14ac:dyDescent="0.2">
      <c r="W37" s="309" t="s">
        <v>32</v>
      </c>
      <c r="X37" s="309"/>
      <c r="Y37" s="309"/>
      <c r="Z37" s="309"/>
      <c r="AA37" s="309"/>
      <c r="AB37" s="309"/>
      <c r="AC37" s="309"/>
      <c r="AG37" s="173"/>
      <c r="AH37" s="173"/>
    </row>
    <row r="38" spans="2:38" x14ac:dyDescent="0.2">
      <c r="H38" s="33"/>
      <c r="W38" s="310">
        <f>W34+W36</f>
        <v>3.6587655237656254</v>
      </c>
      <c r="X38" s="310"/>
      <c r="Y38" s="310"/>
      <c r="Z38" s="310"/>
      <c r="AA38" s="310"/>
      <c r="AB38" s="310"/>
      <c r="AC38" s="310"/>
      <c r="AD38" s="2"/>
      <c r="AE38" s="2"/>
      <c r="AF38" s="2"/>
      <c r="AG38" s="30"/>
      <c r="AH38" s="30"/>
    </row>
    <row r="39" spans="2:38" x14ac:dyDescent="0.2">
      <c r="H39" s="33"/>
      <c r="W39" s="309" t="s">
        <v>165</v>
      </c>
      <c r="X39" s="309"/>
      <c r="Y39" s="309"/>
      <c r="Z39" s="309"/>
      <c r="AA39" s="309"/>
      <c r="AB39" s="309"/>
      <c r="AC39" s="309"/>
      <c r="AG39" s="173"/>
      <c r="AH39" s="173"/>
      <c r="AI39" s="29"/>
    </row>
    <row r="40" spans="2:38" x14ac:dyDescent="0.2">
      <c r="W40" s="310">
        <f>W34*3</f>
        <v>9.0026407209374995</v>
      </c>
      <c r="X40" s="310"/>
      <c r="Y40" s="310"/>
      <c r="Z40" s="310"/>
      <c r="AA40" s="310"/>
      <c r="AB40" s="310"/>
      <c r="AC40" s="310"/>
      <c r="AD40" s="2"/>
      <c r="AE40" s="2"/>
      <c r="AF40" s="2"/>
      <c r="AG40" s="30"/>
      <c r="AH40" s="30"/>
      <c r="AI40" s="2"/>
    </row>
    <row r="41" spans="2:38" x14ac:dyDescent="0.2">
      <c r="W41" s="309" t="s">
        <v>170</v>
      </c>
      <c r="X41" s="309"/>
      <c r="Y41" s="309"/>
      <c r="Z41" s="309"/>
      <c r="AA41" s="309"/>
      <c r="AB41" s="309"/>
      <c r="AC41" s="309"/>
      <c r="AD41" s="2"/>
      <c r="AE41" s="2"/>
      <c r="AF41" s="2"/>
      <c r="AG41" s="30"/>
      <c r="AH41" s="30"/>
      <c r="AI41" s="2"/>
    </row>
    <row r="42" spans="2:38" x14ac:dyDescent="0.2">
      <c r="W42" s="310">
        <f>W36*3</f>
        <v>1.9736558503593753</v>
      </c>
      <c r="X42" s="310"/>
      <c r="Y42" s="310"/>
      <c r="Z42" s="310"/>
      <c r="AA42" s="310"/>
      <c r="AB42" s="310"/>
      <c r="AC42" s="310"/>
      <c r="AD42" s="2"/>
      <c r="AE42" s="2"/>
      <c r="AF42" s="2"/>
      <c r="AG42" s="30"/>
      <c r="AH42" s="30"/>
      <c r="AI42" s="2"/>
    </row>
    <row r="43" spans="2:38" x14ac:dyDescent="0.2">
      <c r="W43" s="309" t="s">
        <v>33</v>
      </c>
      <c r="X43" s="309"/>
      <c r="Y43" s="309"/>
      <c r="Z43" s="309"/>
      <c r="AA43" s="309"/>
      <c r="AB43" s="309"/>
      <c r="AC43" s="309"/>
      <c r="AG43" s="173"/>
      <c r="AH43" s="173"/>
    </row>
    <row r="44" spans="2:38" x14ac:dyDescent="0.2">
      <c r="W44" s="310">
        <f>X30+AC30+AH30+Z30+AE30</f>
        <v>2.7469596045937501</v>
      </c>
      <c r="X44" s="310"/>
      <c r="Y44" s="310"/>
      <c r="Z44" s="310"/>
      <c r="AA44" s="310"/>
      <c r="AB44" s="310"/>
      <c r="AC44" s="310"/>
      <c r="AD44" s="2"/>
      <c r="AE44" s="2"/>
      <c r="AF44" s="2"/>
      <c r="AG44" s="30"/>
      <c r="AH44" s="30"/>
    </row>
  </sheetData>
  <autoFilter ref="A4:AK28" xr:uid="{00000000-0009-0000-0000-000011000000}"/>
  <mergeCells count="43">
    <mergeCell ref="B2:I2"/>
    <mergeCell ref="J2:AL2"/>
    <mergeCell ref="B3:B4"/>
    <mergeCell ref="C3:F3"/>
    <mergeCell ref="G3:G4"/>
    <mergeCell ref="H3:I3"/>
    <mergeCell ref="J3:J4"/>
    <mergeCell ref="K3:K4"/>
    <mergeCell ref="L3:L4"/>
    <mergeCell ref="M3:M4"/>
    <mergeCell ref="W3:AA3"/>
    <mergeCell ref="AB3:AH3"/>
    <mergeCell ref="AI3:AI4"/>
    <mergeCell ref="AJ3:AJ4"/>
    <mergeCell ref="AK3:AK4"/>
    <mergeCell ref="C4:D4"/>
    <mergeCell ref="E4:F4"/>
    <mergeCell ref="B29:AL29"/>
    <mergeCell ref="B30:F30"/>
    <mergeCell ref="P31:S31"/>
    <mergeCell ref="W31:AF31"/>
    <mergeCell ref="AL3:AL4"/>
    <mergeCell ref="N3:N4"/>
    <mergeCell ref="O3:O4"/>
    <mergeCell ref="P3:S3"/>
    <mergeCell ref="T3:T4"/>
    <mergeCell ref="U3:U4"/>
    <mergeCell ref="V3:V4"/>
    <mergeCell ref="W44:AC44"/>
    <mergeCell ref="B32:F32"/>
    <mergeCell ref="W35:AC35"/>
    <mergeCell ref="B33:F33"/>
    <mergeCell ref="W36:AC36"/>
    <mergeCell ref="W37:AC37"/>
    <mergeCell ref="W38:AC38"/>
    <mergeCell ref="P32:S32"/>
    <mergeCell ref="W33:AC33"/>
    <mergeCell ref="W34:AC34"/>
    <mergeCell ref="W39:AC39"/>
    <mergeCell ref="W40:AC40"/>
    <mergeCell ref="W41:AC41"/>
    <mergeCell ref="W42:AC42"/>
    <mergeCell ref="W43:AC43"/>
  </mergeCells>
  <conditionalFormatting sqref="AK30:AL30 W33:W40 W31:X32 Q31:V31 AK37:AL65535 AK1:AL1 AK3:AL4 Q33:V65535 P31:P65535 W42:W44 W45:AA65535 P1:AA1 Y32:AH32 P3:V28 Y5:AA28 AD5:AL28">
    <cfRule type="cellIs" dxfId="26" priority="7" stopIfTrue="1" operator="equal">
      <formula>0</formula>
    </cfRule>
  </conditionalFormatting>
  <conditionalFormatting sqref="K1 K30:K1048576 K3:K28">
    <cfRule type="cellIs" dxfId="25" priority="6" stopIfTrue="1" operator="between">
      <formula>344</formula>
      <formula>1000</formula>
    </cfRule>
  </conditionalFormatting>
  <conditionalFormatting sqref="J1:J28 J30:J1048576">
    <cfRule type="cellIs" dxfId="24" priority="5" stopIfTrue="1" operator="between">
      <formula>3.99</formula>
      <formula>20</formula>
    </cfRule>
  </conditionalFormatting>
  <conditionalFormatting sqref="N1:O1 O3 N3:N4 O31:O1048576 N30:N1048576 N5:O28">
    <cfRule type="cellIs" dxfId="23" priority="4" stopIfTrue="1" operator="equal">
      <formula>"PC"</formula>
    </cfRule>
  </conditionalFormatting>
  <conditionalFormatting sqref="W41">
    <cfRule type="cellIs" dxfId="22" priority="3" stopIfTrue="1" operator="equal">
      <formula>0</formula>
    </cfRule>
  </conditionalFormatting>
  <conditionalFormatting sqref="W5:X28">
    <cfRule type="cellIs" dxfId="21" priority="2" stopIfTrue="1" operator="equal">
      <formula>0</formula>
    </cfRule>
  </conditionalFormatting>
  <conditionalFormatting sqref="AB5:AC28">
    <cfRule type="cellIs" dxfId="20" priority="1" stopIfTrue="1" operator="equal">
      <formula>0</formula>
    </cfRule>
  </conditionalFormatting>
  <printOptions horizontalCentered="1"/>
  <pageMargins left="0.19685039370078741" right="0.19685039370078741" top="0.98425196850393704" bottom="0.98425196850393704" header="0.51181102362204722" footer="0.51181102362204722"/>
  <pageSetup paperSize="9" scale="60" orientation="landscape" horizontalDpi="300" verticalDpi="300" r:id="rId1"/>
  <headerFooter alignWithMargins="0">
    <oddHeader>&amp;L&amp;G&amp;R&amp;G</oddHead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7E8C73-3CE5-4827-A04B-2AD894EBFF59}">
  <sheetPr codeName="Planilha3"/>
  <dimension ref="A1:AL38"/>
  <sheetViews>
    <sheetView zoomScaleNormal="100" workbookViewId="0">
      <pane ySplit="4" topLeftCell="A20" activePane="bottomLeft" state="frozen"/>
      <selection activeCell="A3" sqref="A3:K3"/>
      <selection pane="bottomLeft"/>
    </sheetView>
  </sheetViews>
  <sheetFormatPr defaultRowHeight="12.75" x14ac:dyDescent="0.2"/>
  <cols>
    <col min="1" max="1" width="3" style="185" customWidth="1"/>
    <col min="2" max="4" width="8.7109375" style="185" customWidth="1"/>
    <col min="5" max="5" width="8.7109375" style="181" customWidth="1"/>
    <col min="6" max="6" width="6.7109375" style="181" customWidth="1"/>
    <col min="7" max="7" width="6.7109375" style="185" customWidth="1"/>
    <col min="8" max="8" width="8.7109375" style="185" customWidth="1"/>
    <col min="9" max="9" width="5.7109375" style="185" customWidth="1"/>
    <col min="10" max="10" width="9.7109375" style="185" customWidth="1"/>
    <col min="11" max="11" width="9.7109375" style="187" customWidth="1"/>
    <col min="12" max="12" width="8.7109375" style="2" customWidth="1"/>
    <col min="13" max="13" width="5.7109375" style="185" customWidth="1"/>
    <col min="14" max="18" width="10.7109375" style="185" hidden="1" customWidth="1"/>
    <col min="19" max="21" width="10.7109375" style="185" customWidth="1"/>
    <col min="22" max="23" width="9.7109375" style="185" customWidth="1"/>
    <col min="24" max="26" width="9.7109375" style="185" hidden="1" customWidth="1"/>
    <col min="27" max="28" width="9.7109375" style="185" customWidth="1"/>
    <col min="29" max="32" width="9.7109375" style="185" hidden="1" customWidth="1"/>
    <col min="33" max="36" width="9.7109375" style="185" customWidth="1"/>
    <col min="37" max="37" width="9.7109375" style="185" hidden="1" customWidth="1"/>
    <col min="38" max="16384" width="9.140625" style="185"/>
  </cols>
  <sheetData>
    <row r="1" spans="1:38" x14ac:dyDescent="0.2">
      <c r="B1" s="183"/>
      <c r="C1" s="183"/>
      <c r="D1" s="183"/>
      <c r="E1" s="1"/>
      <c r="F1" s="1"/>
      <c r="G1" s="183"/>
    </row>
    <row r="2" spans="1:38" s="3" customFormat="1" ht="15" customHeight="1" x14ac:dyDescent="0.25">
      <c r="B2" s="338" t="s">
        <v>14</v>
      </c>
      <c r="C2" s="339"/>
      <c r="D2" s="339"/>
      <c r="E2" s="339"/>
      <c r="F2" s="339"/>
      <c r="G2" s="339"/>
      <c r="H2" s="340" t="s">
        <v>539</v>
      </c>
      <c r="I2" s="341"/>
      <c r="J2" s="341"/>
      <c r="K2" s="341"/>
      <c r="L2" s="341"/>
      <c r="M2" s="341"/>
      <c r="N2" s="341"/>
      <c r="O2" s="341"/>
      <c r="P2" s="341"/>
      <c r="Q2" s="341"/>
      <c r="R2" s="341"/>
      <c r="S2" s="341"/>
      <c r="T2" s="341"/>
      <c r="U2" s="341"/>
      <c r="V2" s="341"/>
      <c r="W2" s="341"/>
      <c r="X2" s="341"/>
      <c r="Y2" s="341"/>
      <c r="Z2" s="341"/>
      <c r="AA2" s="341"/>
      <c r="AB2" s="341"/>
      <c r="AC2" s="341"/>
      <c r="AD2" s="341"/>
      <c r="AE2" s="341"/>
      <c r="AF2" s="341"/>
      <c r="AG2" s="341"/>
      <c r="AH2" s="341"/>
      <c r="AI2" s="341"/>
      <c r="AJ2" s="341"/>
      <c r="AK2" s="342"/>
      <c r="AL2" s="4"/>
    </row>
    <row r="3" spans="1:38" ht="12.75" customHeight="1" x14ac:dyDescent="0.2">
      <c r="B3" s="343" t="s">
        <v>15</v>
      </c>
      <c r="C3" s="344"/>
      <c r="D3" s="344"/>
      <c r="E3" s="343" t="s">
        <v>17</v>
      </c>
      <c r="F3" s="347" t="s">
        <v>0</v>
      </c>
      <c r="G3" s="347"/>
      <c r="H3" s="334" t="s">
        <v>1</v>
      </c>
      <c r="I3" s="345" t="s">
        <v>2</v>
      </c>
      <c r="J3" s="334" t="s">
        <v>564</v>
      </c>
      <c r="K3" s="334" t="s">
        <v>565</v>
      </c>
      <c r="L3" s="346" t="s">
        <v>18</v>
      </c>
      <c r="M3" s="332" t="s">
        <v>3</v>
      </c>
      <c r="N3" s="332" t="s">
        <v>19</v>
      </c>
      <c r="O3" s="335" t="s">
        <v>20</v>
      </c>
      <c r="P3" s="336"/>
      <c r="Q3" s="336"/>
      <c r="R3" s="337"/>
      <c r="S3" s="332" t="s">
        <v>21</v>
      </c>
      <c r="T3" s="332" t="s">
        <v>12</v>
      </c>
      <c r="U3" s="332" t="s">
        <v>13</v>
      </c>
      <c r="V3" s="329" t="s">
        <v>22</v>
      </c>
      <c r="W3" s="330"/>
      <c r="X3" s="330"/>
      <c r="Y3" s="330"/>
      <c r="Z3" s="330"/>
      <c r="AA3" s="329" t="s">
        <v>23</v>
      </c>
      <c r="AB3" s="330"/>
      <c r="AC3" s="330"/>
      <c r="AD3" s="330"/>
      <c r="AE3" s="330"/>
      <c r="AF3" s="330"/>
      <c r="AG3" s="331"/>
      <c r="AH3" s="332" t="s">
        <v>24</v>
      </c>
      <c r="AI3" s="334" t="s">
        <v>4</v>
      </c>
      <c r="AJ3" s="334" t="s">
        <v>25</v>
      </c>
      <c r="AK3" s="334" t="s">
        <v>26</v>
      </c>
      <c r="AL3" s="5"/>
    </row>
    <row r="4" spans="1:38" ht="25.5" customHeight="1" x14ac:dyDescent="0.2">
      <c r="B4" s="343"/>
      <c r="C4" s="180"/>
      <c r="D4" s="180"/>
      <c r="E4" s="343"/>
      <c r="F4" s="178" t="s">
        <v>5</v>
      </c>
      <c r="G4" s="178" t="s">
        <v>6</v>
      </c>
      <c r="H4" s="334"/>
      <c r="I4" s="345"/>
      <c r="J4" s="334"/>
      <c r="K4" s="334"/>
      <c r="L4" s="346"/>
      <c r="M4" s="333"/>
      <c r="N4" s="333"/>
      <c r="O4" s="179" t="s">
        <v>7</v>
      </c>
      <c r="P4" s="179" t="s">
        <v>27</v>
      </c>
      <c r="Q4" s="179" t="s">
        <v>10</v>
      </c>
      <c r="R4" s="179" t="s">
        <v>8</v>
      </c>
      <c r="S4" s="333"/>
      <c r="T4" s="333"/>
      <c r="U4" s="333"/>
      <c r="V4" s="6" t="s">
        <v>166</v>
      </c>
      <c r="W4" s="6" t="s">
        <v>167</v>
      </c>
      <c r="X4" s="6" t="s">
        <v>168</v>
      </c>
      <c r="Y4" s="6" t="s">
        <v>169</v>
      </c>
      <c r="Z4" s="6" t="s">
        <v>28</v>
      </c>
      <c r="AA4" s="6" t="s">
        <v>166</v>
      </c>
      <c r="AB4" s="6" t="s">
        <v>167</v>
      </c>
      <c r="AC4" s="6" t="s">
        <v>168</v>
      </c>
      <c r="AD4" s="6" t="s">
        <v>169</v>
      </c>
      <c r="AE4" s="6" t="s">
        <v>191</v>
      </c>
      <c r="AF4" s="6" t="s">
        <v>192</v>
      </c>
      <c r="AG4" s="6" t="s">
        <v>11</v>
      </c>
      <c r="AH4" s="333"/>
      <c r="AI4" s="334"/>
      <c r="AJ4" s="334"/>
      <c r="AK4" s="334"/>
      <c r="AL4" s="7"/>
    </row>
    <row r="5" spans="1:38" s="18" customFormat="1" x14ac:dyDescent="0.2">
      <c r="A5" s="185"/>
      <c r="B5" s="8" t="s">
        <v>540</v>
      </c>
      <c r="C5" s="9" t="s">
        <v>541</v>
      </c>
      <c r="D5" s="9" t="s">
        <v>542</v>
      </c>
      <c r="E5" s="11">
        <v>2.8</v>
      </c>
      <c r="F5" s="11">
        <v>0.6</v>
      </c>
      <c r="G5" s="11">
        <v>0.65</v>
      </c>
      <c r="H5" s="13">
        <f t="shared" ref="H5:H21" si="0">IF(B5="","",(F5+G5)/2)</f>
        <v>0.625</v>
      </c>
      <c r="I5" s="14">
        <v>150</v>
      </c>
      <c r="J5" s="15" t="str">
        <f>IF($I5="","",IF($I5=100,$E5,""))</f>
        <v/>
      </c>
      <c r="K5" s="15">
        <f>IF($I5="","",IF($I5=150,$E5,""))</f>
        <v>2.8</v>
      </c>
      <c r="L5" s="16">
        <v>0.65</v>
      </c>
      <c r="M5" s="14" t="s">
        <v>134</v>
      </c>
      <c r="N5" s="17"/>
      <c r="O5" s="13">
        <f t="shared" ref="O5:O21" si="1">IF(M5="A",(E5*(L5+0.1)),0)</f>
        <v>0</v>
      </c>
      <c r="P5" s="13">
        <f t="shared" ref="P5:P21" si="2">IF(M5="B",(E5*(L5+0.3)),0)</f>
        <v>0</v>
      </c>
      <c r="Q5" s="13">
        <f t="shared" ref="Q5:Q21" si="3">IF(M5="PC",(E5*(L5+0.15)),0)</f>
        <v>0</v>
      </c>
      <c r="R5" s="13">
        <f t="shared" ref="R5:R21" si="4">IF(M5="C",(E5*L5),0)</f>
        <v>0</v>
      </c>
      <c r="S5" s="13">
        <f t="shared" ref="S5:S21" si="5">IF(B5="","",(E5*H5*L5)*1.05)</f>
        <v>1.194375</v>
      </c>
      <c r="T5" s="13">
        <f>S5*0.05</f>
        <v>5.9718750000000001E-2</v>
      </c>
      <c r="U5" s="13">
        <f>S5*0.95</f>
        <v>1.1346562499999999</v>
      </c>
      <c r="V5" s="13">
        <f t="shared" ref="V5:V21" si="6">IF($H5&lt;=1.5,T5*0.95,0)</f>
        <v>5.67328125E-2</v>
      </c>
      <c r="W5" s="13">
        <f t="shared" ref="W5:W21" si="7">IF($H5&lt;=1.5,T5*0.05,0)</f>
        <v>2.9859375000000003E-3</v>
      </c>
      <c r="X5" s="13">
        <f t="shared" ref="X5:X21" si="8">IF(AND($H5&lt;=3,$H5&gt;1.5),T5*0.5,0)</f>
        <v>0</v>
      </c>
      <c r="Y5" s="13">
        <f t="shared" ref="Y5:Y21" si="9">IF(AND($H5&lt;=3,$H5&gt;1.5),T5*0.5,0)</f>
        <v>0</v>
      </c>
      <c r="Z5" s="13">
        <f t="shared" ref="Z5:Z21" si="10">IF(AND($H5&lt;=4.5,$H5&gt;3),T5*0.95,0)</f>
        <v>0</v>
      </c>
      <c r="AA5" s="13">
        <f>IF($H5&lt;=1.5,U5*0.94,0)</f>
        <v>1.0665768749999998</v>
      </c>
      <c r="AB5" s="13">
        <f>IF($H5&lt;=1.5,U5*0.05,0)</f>
        <v>5.67328125E-2</v>
      </c>
      <c r="AC5" s="13">
        <f>IF(AND($H5&gt;1.5,$H5&lt;=3),U5*0.47,0)</f>
        <v>0</v>
      </c>
      <c r="AD5" s="13">
        <f>IF(AND($H5&gt;1.5,$H5&lt;=3),U5*0.5,0)</f>
        <v>0</v>
      </c>
      <c r="AE5" s="13">
        <f>IF(AND($H5&gt;3,$H5&lt;=4.5),U5*0.47,0)</f>
        <v>0</v>
      </c>
      <c r="AF5" s="13">
        <f>IF(AND($H5&gt;3,$H5&lt;=4.5),U5*0.5,0)</f>
        <v>0</v>
      </c>
      <c r="AG5" s="13">
        <f t="shared" ref="AG5:AG21" si="11">IF(B5="","",IF($H5&lt;=1.5,U5*0.01,U5*0.03))</f>
        <v>1.1346562499999999E-2</v>
      </c>
      <c r="AH5" s="13">
        <f t="shared" ref="AH5:AH21" si="12">IF(B5="","",E5*L5)</f>
        <v>1.8199999999999998</v>
      </c>
      <c r="AI5" s="13">
        <f t="shared" ref="AI5:AI21" si="13">IF(B5="","",S5)</f>
        <v>1.194375</v>
      </c>
      <c r="AJ5" s="13">
        <f t="shared" ref="AJ5:AJ21" si="14">IF(B5="","",IF(H5&gt;=1.25,IF(H5&lt;=2,E5*H5*2,0),0))</f>
        <v>0</v>
      </c>
      <c r="AK5" s="13">
        <f t="shared" ref="AK5:AK21" si="15">IF(B5="","",IF(H5&gt;2,E5*H5,0))</f>
        <v>0</v>
      </c>
    </row>
    <row r="6" spans="1:38" s="18" customFormat="1" x14ac:dyDescent="0.2">
      <c r="A6" s="185"/>
      <c r="B6" s="8" t="s">
        <v>540</v>
      </c>
      <c r="C6" s="9" t="s">
        <v>542</v>
      </c>
      <c r="D6" s="9" t="s">
        <v>543</v>
      </c>
      <c r="E6" s="11">
        <v>4.2</v>
      </c>
      <c r="F6" s="11">
        <v>0.65</v>
      </c>
      <c r="G6" s="11">
        <v>0.78</v>
      </c>
      <c r="H6" s="13">
        <f t="shared" si="0"/>
        <v>0.71500000000000008</v>
      </c>
      <c r="I6" s="14">
        <v>150</v>
      </c>
      <c r="J6" s="15" t="str">
        <f t="shared" ref="J6:J21" si="16">IF($I6="","",IF($I6=100,$E6,""))</f>
        <v/>
      </c>
      <c r="K6" s="15">
        <f t="shared" ref="K6:K21" si="17">IF($I6="","",IF($I6=150,$E6,""))</f>
        <v>4.2</v>
      </c>
      <c r="L6" s="16">
        <v>0.65</v>
      </c>
      <c r="M6" s="14" t="s">
        <v>134</v>
      </c>
      <c r="N6" s="17"/>
      <c r="O6" s="13">
        <f t="shared" si="1"/>
        <v>0</v>
      </c>
      <c r="P6" s="13">
        <f t="shared" si="2"/>
        <v>0</v>
      </c>
      <c r="Q6" s="13">
        <f t="shared" si="3"/>
        <v>0</v>
      </c>
      <c r="R6" s="13">
        <f t="shared" si="4"/>
        <v>0</v>
      </c>
      <c r="S6" s="13">
        <f t="shared" si="5"/>
        <v>2.0495475000000005</v>
      </c>
      <c r="T6" s="13">
        <f t="shared" ref="T6:T21" si="18">S6*0.05</f>
        <v>0.10247737500000004</v>
      </c>
      <c r="U6" s="13">
        <f t="shared" ref="U6:U21" si="19">S6*0.95</f>
        <v>1.9470701250000004</v>
      </c>
      <c r="V6" s="13">
        <f t="shared" si="6"/>
        <v>9.7353506250000027E-2</v>
      </c>
      <c r="W6" s="13">
        <f t="shared" si="7"/>
        <v>5.1238687500000024E-3</v>
      </c>
      <c r="X6" s="13">
        <f t="shared" si="8"/>
        <v>0</v>
      </c>
      <c r="Y6" s="13">
        <f t="shared" si="9"/>
        <v>0</v>
      </c>
      <c r="Z6" s="13">
        <f t="shared" si="10"/>
        <v>0</v>
      </c>
      <c r="AA6" s="13">
        <f t="shared" ref="AA6:AA21" si="20">IF($H6&lt;=1.5,U6*0.94,0)</f>
        <v>1.8302459175000003</v>
      </c>
      <c r="AB6" s="13">
        <f t="shared" ref="AB6:AB21" si="21">IF($H6&lt;=1.5,U6*0.05,0)</f>
        <v>9.7353506250000027E-2</v>
      </c>
      <c r="AC6" s="13">
        <f t="shared" ref="AC6:AC21" si="22">IF(AND($H6&gt;1.5,$H6&lt;=3),U6*0.47,0)</f>
        <v>0</v>
      </c>
      <c r="AD6" s="13">
        <f t="shared" ref="AD6:AD21" si="23">IF(AND($H6&gt;1.5,$H6&lt;=4),U6*0.5,0)</f>
        <v>0</v>
      </c>
      <c r="AE6" s="13">
        <f t="shared" ref="AE6:AE21" si="24">IF(AND($H6&gt;3,$H6&lt;=4.5),U6*0.47,0)</f>
        <v>0</v>
      </c>
      <c r="AF6" s="13">
        <f t="shared" ref="AF6:AF21" si="25">IF(AND($H6&gt;3,$H6&lt;=4.5),U6*0.5,0)</f>
        <v>0</v>
      </c>
      <c r="AG6" s="13">
        <f t="shared" si="11"/>
        <v>1.9470701250000003E-2</v>
      </c>
      <c r="AH6" s="13">
        <f t="shared" si="12"/>
        <v>2.7300000000000004</v>
      </c>
      <c r="AI6" s="13">
        <f t="shared" si="13"/>
        <v>2.0495475000000005</v>
      </c>
      <c r="AJ6" s="13">
        <f t="shared" si="14"/>
        <v>0</v>
      </c>
      <c r="AK6" s="13">
        <f t="shared" si="15"/>
        <v>0</v>
      </c>
    </row>
    <row r="7" spans="1:38" s="18" customFormat="1" x14ac:dyDescent="0.2">
      <c r="A7" s="185"/>
      <c r="B7" s="8" t="s">
        <v>540</v>
      </c>
      <c r="C7" s="9" t="s">
        <v>543</v>
      </c>
      <c r="D7" s="9" t="s">
        <v>544</v>
      </c>
      <c r="E7" s="11">
        <v>17.600000000000001</v>
      </c>
      <c r="F7" s="11">
        <v>0.78</v>
      </c>
      <c r="G7" s="11">
        <v>0.6</v>
      </c>
      <c r="H7" s="13">
        <f t="shared" si="0"/>
        <v>0.69</v>
      </c>
      <c r="I7" s="14">
        <v>150</v>
      </c>
      <c r="J7" s="15" t="str">
        <f t="shared" si="16"/>
        <v/>
      </c>
      <c r="K7" s="15">
        <f t="shared" si="17"/>
        <v>17.600000000000001</v>
      </c>
      <c r="L7" s="16">
        <v>0.65</v>
      </c>
      <c r="M7" s="14" t="s">
        <v>134</v>
      </c>
      <c r="N7" s="17"/>
      <c r="O7" s="13">
        <f t="shared" si="1"/>
        <v>0</v>
      </c>
      <c r="P7" s="13">
        <f t="shared" si="2"/>
        <v>0</v>
      </c>
      <c r="Q7" s="13">
        <f t="shared" si="3"/>
        <v>0</v>
      </c>
      <c r="R7" s="13">
        <f t="shared" si="4"/>
        <v>0</v>
      </c>
      <c r="S7" s="13">
        <f t="shared" si="5"/>
        <v>8.2882800000000003</v>
      </c>
      <c r="T7" s="13">
        <f t="shared" si="18"/>
        <v>0.41441400000000006</v>
      </c>
      <c r="U7" s="13">
        <f t="shared" si="19"/>
        <v>7.8738659999999996</v>
      </c>
      <c r="V7" s="13">
        <f t="shared" si="6"/>
        <v>0.39369330000000002</v>
      </c>
      <c r="W7" s="13">
        <f t="shared" si="7"/>
        <v>2.0720700000000005E-2</v>
      </c>
      <c r="X7" s="13">
        <f t="shared" si="8"/>
        <v>0</v>
      </c>
      <c r="Y7" s="13">
        <f t="shared" si="9"/>
        <v>0</v>
      </c>
      <c r="Z7" s="13">
        <f t="shared" si="10"/>
        <v>0</v>
      </c>
      <c r="AA7" s="13">
        <f t="shared" si="20"/>
        <v>7.4014340399999989</v>
      </c>
      <c r="AB7" s="13">
        <f t="shared" si="21"/>
        <v>0.39369330000000002</v>
      </c>
      <c r="AC7" s="13">
        <f t="shared" si="22"/>
        <v>0</v>
      </c>
      <c r="AD7" s="13">
        <f t="shared" si="23"/>
        <v>0</v>
      </c>
      <c r="AE7" s="13">
        <f t="shared" si="24"/>
        <v>0</v>
      </c>
      <c r="AF7" s="13">
        <f t="shared" si="25"/>
        <v>0</v>
      </c>
      <c r="AG7" s="13">
        <f t="shared" si="11"/>
        <v>7.8738660000000002E-2</v>
      </c>
      <c r="AH7" s="13">
        <f t="shared" si="12"/>
        <v>11.440000000000001</v>
      </c>
      <c r="AI7" s="13">
        <f t="shared" si="13"/>
        <v>8.2882800000000003</v>
      </c>
      <c r="AJ7" s="13">
        <f t="shared" si="14"/>
        <v>0</v>
      </c>
      <c r="AK7" s="13">
        <f t="shared" si="15"/>
        <v>0</v>
      </c>
    </row>
    <row r="8" spans="1:38" s="18" customFormat="1" x14ac:dyDescent="0.2">
      <c r="A8" s="185"/>
      <c r="B8" s="8" t="s">
        <v>540</v>
      </c>
      <c r="C8" s="9" t="s">
        <v>544</v>
      </c>
      <c r="D8" s="9" t="s">
        <v>545</v>
      </c>
      <c r="E8" s="11">
        <v>13.05</v>
      </c>
      <c r="F8" s="11">
        <v>0.6</v>
      </c>
      <c r="G8" s="11">
        <v>0.86</v>
      </c>
      <c r="H8" s="13">
        <f t="shared" si="0"/>
        <v>0.73</v>
      </c>
      <c r="I8" s="14">
        <v>150</v>
      </c>
      <c r="J8" s="15" t="str">
        <f t="shared" si="16"/>
        <v/>
      </c>
      <c r="K8" s="15">
        <f t="shared" si="17"/>
        <v>13.05</v>
      </c>
      <c r="L8" s="16">
        <v>0.65</v>
      </c>
      <c r="M8" s="14" t="s">
        <v>134</v>
      </c>
      <c r="N8" s="17"/>
      <c r="O8" s="13">
        <f t="shared" si="1"/>
        <v>0</v>
      </c>
      <c r="P8" s="13">
        <f t="shared" si="2"/>
        <v>0</v>
      </c>
      <c r="Q8" s="13">
        <f t="shared" si="3"/>
        <v>0</v>
      </c>
      <c r="R8" s="13">
        <f t="shared" si="4"/>
        <v>0</v>
      </c>
      <c r="S8" s="13">
        <f t="shared" si="5"/>
        <v>6.5018362500000011</v>
      </c>
      <c r="T8" s="13">
        <f t="shared" si="18"/>
        <v>0.32509181250000008</v>
      </c>
      <c r="U8" s="13">
        <f t="shared" si="19"/>
        <v>6.1767444375000009</v>
      </c>
      <c r="V8" s="13">
        <f t="shared" si="6"/>
        <v>0.30883722187500007</v>
      </c>
      <c r="W8" s="13">
        <f t="shared" si="7"/>
        <v>1.6254590625000006E-2</v>
      </c>
      <c r="X8" s="13">
        <f t="shared" si="8"/>
        <v>0</v>
      </c>
      <c r="Y8" s="13">
        <f t="shared" si="9"/>
        <v>0</v>
      </c>
      <c r="Z8" s="13">
        <f t="shared" si="10"/>
        <v>0</v>
      </c>
      <c r="AA8" s="13">
        <f t="shared" si="20"/>
        <v>5.8061397712500007</v>
      </c>
      <c r="AB8" s="13">
        <f t="shared" si="21"/>
        <v>0.30883722187500007</v>
      </c>
      <c r="AC8" s="13">
        <f t="shared" si="22"/>
        <v>0</v>
      </c>
      <c r="AD8" s="13">
        <f t="shared" si="23"/>
        <v>0</v>
      </c>
      <c r="AE8" s="13">
        <f t="shared" si="24"/>
        <v>0</v>
      </c>
      <c r="AF8" s="13">
        <f t="shared" si="25"/>
        <v>0</v>
      </c>
      <c r="AG8" s="13">
        <f t="shared" si="11"/>
        <v>6.1767444375000008E-2</v>
      </c>
      <c r="AH8" s="13">
        <f t="shared" si="12"/>
        <v>8.4824999999999999</v>
      </c>
      <c r="AI8" s="13">
        <f t="shared" si="13"/>
        <v>6.5018362500000011</v>
      </c>
      <c r="AJ8" s="13">
        <f t="shared" si="14"/>
        <v>0</v>
      </c>
      <c r="AK8" s="13">
        <f t="shared" si="15"/>
        <v>0</v>
      </c>
    </row>
    <row r="9" spans="1:38" s="18" customFormat="1" x14ac:dyDescent="0.2">
      <c r="A9" s="185"/>
      <c r="B9" s="8" t="s">
        <v>540</v>
      </c>
      <c r="C9" s="9" t="s">
        <v>545</v>
      </c>
      <c r="D9" s="9" t="s">
        <v>546</v>
      </c>
      <c r="E9" s="11">
        <v>31.7</v>
      </c>
      <c r="F9" s="11">
        <v>0.86</v>
      </c>
      <c r="G9" s="11">
        <v>1.1000000000000001</v>
      </c>
      <c r="H9" s="13">
        <f t="shared" si="0"/>
        <v>0.98</v>
      </c>
      <c r="I9" s="14">
        <v>150</v>
      </c>
      <c r="J9" s="15" t="str">
        <f t="shared" si="16"/>
        <v/>
      </c>
      <c r="K9" s="15">
        <f t="shared" si="17"/>
        <v>31.7</v>
      </c>
      <c r="L9" s="16">
        <v>0.65</v>
      </c>
      <c r="M9" s="14" t="s">
        <v>134</v>
      </c>
      <c r="N9" s="17"/>
      <c r="O9" s="13">
        <f t="shared" si="1"/>
        <v>0</v>
      </c>
      <c r="P9" s="13">
        <f t="shared" si="2"/>
        <v>0</v>
      </c>
      <c r="Q9" s="13">
        <f t="shared" si="3"/>
        <v>0</v>
      </c>
      <c r="R9" s="13">
        <f t="shared" si="4"/>
        <v>0</v>
      </c>
      <c r="S9" s="13">
        <f t="shared" si="5"/>
        <v>21.202545000000004</v>
      </c>
      <c r="T9" s="13">
        <f t="shared" si="18"/>
        <v>1.0601272500000003</v>
      </c>
      <c r="U9" s="13">
        <f t="shared" si="19"/>
        <v>20.142417750000003</v>
      </c>
      <c r="V9" s="13">
        <f t="shared" si="6"/>
        <v>1.0071208875000002</v>
      </c>
      <c r="W9" s="13">
        <f t="shared" si="7"/>
        <v>5.3006362500000015E-2</v>
      </c>
      <c r="X9" s="13">
        <f t="shared" si="8"/>
        <v>0</v>
      </c>
      <c r="Y9" s="13">
        <f t="shared" si="9"/>
        <v>0</v>
      </c>
      <c r="Z9" s="13">
        <f t="shared" si="10"/>
        <v>0</v>
      </c>
      <c r="AA9" s="13">
        <f t="shared" si="20"/>
        <v>18.933872685000001</v>
      </c>
      <c r="AB9" s="13">
        <f t="shared" si="21"/>
        <v>1.0071208875000002</v>
      </c>
      <c r="AC9" s="13">
        <f t="shared" si="22"/>
        <v>0</v>
      </c>
      <c r="AD9" s="13">
        <f t="shared" si="23"/>
        <v>0</v>
      </c>
      <c r="AE9" s="13">
        <f t="shared" si="24"/>
        <v>0</v>
      </c>
      <c r="AF9" s="13">
        <f t="shared" si="25"/>
        <v>0</v>
      </c>
      <c r="AG9" s="13">
        <f t="shared" si="11"/>
        <v>0.20142417750000005</v>
      </c>
      <c r="AH9" s="13">
        <f t="shared" si="12"/>
        <v>20.605</v>
      </c>
      <c r="AI9" s="13">
        <f t="shared" si="13"/>
        <v>21.202545000000004</v>
      </c>
      <c r="AJ9" s="13">
        <f t="shared" si="14"/>
        <v>0</v>
      </c>
      <c r="AK9" s="13">
        <f t="shared" si="15"/>
        <v>0</v>
      </c>
    </row>
    <row r="10" spans="1:38" s="18" customFormat="1" x14ac:dyDescent="0.2">
      <c r="A10" s="185"/>
      <c r="B10" s="8" t="s">
        <v>540</v>
      </c>
      <c r="C10" s="9" t="s">
        <v>547</v>
      </c>
      <c r="D10" s="9" t="s">
        <v>548</v>
      </c>
      <c r="E10" s="11">
        <v>12.6</v>
      </c>
      <c r="F10" s="11">
        <v>0.4</v>
      </c>
      <c r="G10" s="11">
        <v>0.53</v>
      </c>
      <c r="H10" s="13">
        <f t="shared" si="0"/>
        <v>0.46500000000000002</v>
      </c>
      <c r="I10" s="14">
        <v>100</v>
      </c>
      <c r="J10" s="15">
        <f t="shared" si="16"/>
        <v>12.6</v>
      </c>
      <c r="K10" s="15" t="str">
        <f t="shared" si="17"/>
        <v/>
      </c>
      <c r="L10" s="16">
        <v>0.65</v>
      </c>
      <c r="M10" s="14" t="s">
        <v>134</v>
      </c>
      <c r="N10" s="17"/>
      <c r="O10" s="13">
        <f t="shared" si="1"/>
        <v>0</v>
      </c>
      <c r="P10" s="13">
        <f t="shared" si="2"/>
        <v>0</v>
      </c>
      <c r="Q10" s="13">
        <f t="shared" si="3"/>
        <v>0</v>
      </c>
      <c r="R10" s="13">
        <f t="shared" si="4"/>
        <v>0</v>
      </c>
      <c r="S10" s="13">
        <f t="shared" si="5"/>
        <v>3.9987675</v>
      </c>
      <c r="T10" s="13">
        <f t="shared" si="18"/>
        <v>0.199938375</v>
      </c>
      <c r="U10" s="13">
        <f t="shared" si="19"/>
        <v>3.7988291249999997</v>
      </c>
      <c r="V10" s="13">
        <f t="shared" si="6"/>
        <v>0.18994145625</v>
      </c>
      <c r="W10" s="13">
        <f t="shared" si="7"/>
        <v>9.9969187500000001E-3</v>
      </c>
      <c r="X10" s="13">
        <f t="shared" si="8"/>
        <v>0</v>
      </c>
      <c r="Y10" s="13">
        <f t="shared" si="9"/>
        <v>0</v>
      </c>
      <c r="Z10" s="13">
        <f t="shared" si="10"/>
        <v>0</v>
      </c>
      <c r="AA10" s="13">
        <f t="shared" si="20"/>
        <v>3.5708993774999995</v>
      </c>
      <c r="AB10" s="13">
        <f t="shared" si="21"/>
        <v>0.18994145625</v>
      </c>
      <c r="AC10" s="13">
        <f t="shared" si="22"/>
        <v>0</v>
      </c>
      <c r="AD10" s="13">
        <f t="shared" si="23"/>
        <v>0</v>
      </c>
      <c r="AE10" s="13">
        <f t="shared" si="24"/>
        <v>0</v>
      </c>
      <c r="AF10" s="13">
        <f t="shared" si="25"/>
        <v>0</v>
      </c>
      <c r="AG10" s="13">
        <f t="shared" si="11"/>
        <v>3.798829125E-2</v>
      </c>
      <c r="AH10" s="13">
        <f t="shared" si="12"/>
        <v>8.19</v>
      </c>
      <c r="AI10" s="13">
        <f t="shared" si="13"/>
        <v>3.9987675</v>
      </c>
      <c r="AJ10" s="13">
        <f t="shared" si="14"/>
        <v>0</v>
      </c>
      <c r="AK10" s="13">
        <f t="shared" si="15"/>
        <v>0</v>
      </c>
    </row>
    <row r="11" spans="1:38" s="18" customFormat="1" x14ac:dyDescent="0.2">
      <c r="A11" s="185"/>
      <c r="B11" s="8" t="s">
        <v>540</v>
      </c>
      <c r="C11" s="9" t="s">
        <v>549</v>
      </c>
      <c r="D11" s="9" t="s">
        <v>550</v>
      </c>
      <c r="E11" s="11">
        <v>9.9499999999999993</v>
      </c>
      <c r="F11" s="11">
        <v>0.53</v>
      </c>
      <c r="G11" s="11">
        <v>0.63</v>
      </c>
      <c r="H11" s="13">
        <f t="shared" si="0"/>
        <v>0.58000000000000007</v>
      </c>
      <c r="I11" s="14">
        <v>100</v>
      </c>
      <c r="J11" s="15">
        <f t="shared" si="16"/>
        <v>9.9499999999999993</v>
      </c>
      <c r="K11" s="15" t="str">
        <f t="shared" si="17"/>
        <v/>
      </c>
      <c r="L11" s="16">
        <v>0.65</v>
      </c>
      <c r="M11" s="14" t="s">
        <v>134</v>
      </c>
      <c r="N11" s="17"/>
      <c r="O11" s="13">
        <f t="shared" si="1"/>
        <v>0</v>
      </c>
      <c r="P11" s="13">
        <f t="shared" si="2"/>
        <v>0</v>
      </c>
      <c r="Q11" s="13">
        <f t="shared" si="3"/>
        <v>0</v>
      </c>
      <c r="R11" s="13">
        <f t="shared" si="4"/>
        <v>0</v>
      </c>
      <c r="S11" s="13">
        <f t="shared" si="5"/>
        <v>3.9387075</v>
      </c>
      <c r="T11" s="13">
        <f t="shared" si="18"/>
        <v>0.19693537500000002</v>
      </c>
      <c r="U11" s="13">
        <f t="shared" si="19"/>
        <v>3.7417721249999998</v>
      </c>
      <c r="V11" s="13">
        <f t="shared" si="6"/>
        <v>0.18708860625000001</v>
      </c>
      <c r="W11" s="13">
        <f t="shared" si="7"/>
        <v>9.8467687500000019E-3</v>
      </c>
      <c r="X11" s="13">
        <f t="shared" si="8"/>
        <v>0</v>
      </c>
      <c r="Y11" s="13">
        <f t="shared" si="9"/>
        <v>0</v>
      </c>
      <c r="Z11" s="13">
        <f t="shared" si="10"/>
        <v>0</v>
      </c>
      <c r="AA11" s="13">
        <f t="shared" si="20"/>
        <v>3.5172657974999995</v>
      </c>
      <c r="AB11" s="13">
        <f t="shared" si="21"/>
        <v>0.18708860625000001</v>
      </c>
      <c r="AC11" s="13">
        <f t="shared" si="22"/>
        <v>0</v>
      </c>
      <c r="AD11" s="13">
        <f t="shared" si="23"/>
        <v>0</v>
      </c>
      <c r="AE11" s="13">
        <f t="shared" si="24"/>
        <v>0</v>
      </c>
      <c r="AF11" s="13">
        <f t="shared" si="25"/>
        <v>0</v>
      </c>
      <c r="AG11" s="13">
        <f t="shared" si="11"/>
        <v>3.7417721250000001E-2</v>
      </c>
      <c r="AH11" s="13">
        <f t="shared" si="12"/>
        <v>6.4674999999999994</v>
      </c>
      <c r="AI11" s="13">
        <f t="shared" si="13"/>
        <v>3.9387075</v>
      </c>
      <c r="AJ11" s="13">
        <f t="shared" si="14"/>
        <v>0</v>
      </c>
      <c r="AK11" s="13">
        <f t="shared" si="15"/>
        <v>0</v>
      </c>
      <c r="AL11" s="19"/>
    </row>
    <row r="12" spans="1:38" s="18" customFormat="1" x14ac:dyDescent="0.2">
      <c r="A12" s="185"/>
      <c r="B12" s="8" t="s">
        <v>540</v>
      </c>
      <c r="C12" s="9" t="s">
        <v>550</v>
      </c>
      <c r="D12" s="9" t="s">
        <v>551</v>
      </c>
      <c r="E12" s="11">
        <v>13.55</v>
      </c>
      <c r="F12" s="11">
        <v>0.63</v>
      </c>
      <c r="G12" s="11">
        <v>1</v>
      </c>
      <c r="H12" s="13">
        <f t="shared" si="0"/>
        <v>0.81499999999999995</v>
      </c>
      <c r="I12" s="14">
        <v>100</v>
      </c>
      <c r="J12" s="15">
        <f t="shared" si="16"/>
        <v>13.55</v>
      </c>
      <c r="K12" s="15" t="str">
        <f t="shared" si="17"/>
        <v/>
      </c>
      <c r="L12" s="16">
        <v>0.65</v>
      </c>
      <c r="M12" s="14" t="s">
        <v>134</v>
      </c>
      <c r="N12" s="17"/>
      <c r="O12" s="13">
        <f t="shared" si="1"/>
        <v>0</v>
      </c>
      <c r="P12" s="13">
        <f t="shared" si="2"/>
        <v>0</v>
      </c>
      <c r="Q12" s="13">
        <f t="shared" si="3"/>
        <v>0</v>
      </c>
      <c r="R12" s="13">
        <f t="shared" si="4"/>
        <v>0</v>
      </c>
      <c r="S12" s="13">
        <f t="shared" si="5"/>
        <v>7.5370181250000003</v>
      </c>
      <c r="T12" s="13">
        <f t="shared" si="18"/>
        <v>0.37685090625000006</v>
      </c>
      <c r="U12" s="13">
        <f t="shared" si="19"/>
        <v>7.1601672187499998</v>
      </c>
      <c r="V12" s="13">
        <f t="shared" si="6"/>
        <v>0.35800836093750005</v>
      </c>
      <c r="W12" s="13">
        <f t="shared" si="7"/>
        <v>1.8842545312500004E-2</v>
      </c>
      <c r="X12" s="13">
        <f t="shared" si="8"/>
        <v>0</v>
      </c>
      <c r="Y12" s="13">
        <f t="shared" si="9"/>
        <v>0</v>
      </c>
      <c r="Z12" s="13">
        <f t="shared" si="10"/>
        <v>0</v>
      </c>
      <c r="AA12" s="13">
        <f t="shared" si="20"/>
        <v>6.7305571856249991</v>
      </c>
      <c r="AB12" s="13">
        <f t="shared" si="21"/>
        <v>0.35800836093749999</v>
      </c>
      <c r="AC12" s="13">
        <f t="shared" si="22"/>
        <v>0</v>
      </c>
      <c r="AD12" s="13">
        <f t="shared" si="23"/>
        <v>0</v>
      </c>
      <c r="AE12" s="13">
        <f t="shared" si="24"/>
        <v>0</v>
      </c>
      <c r="AF12" s="13">
        <f t="shared" si="25"/>
        <v>0</v>
      </c>
      <c r="AG12" s="13">
        <f t="shared" si="11"/>
        <v>7.1601672187500007E-2</v>
      </c>
      <c r="AH12" s="13">
        <f t="shared" si="12"/>
        <v>8.807500000000001</v>
      </c>
      <c r="AI12" s="13">
        <f t="shared" si="13"/>
        <v>7.5370181250000003</v>
      </c>
      <c r="AJ12" s="13">
        <f t="shared" si="14"/>
        <v>0</v>
      </c>
      <c r="AK12" s="13">
        <f t="shared" si="15"/>
        <v>0</v>
      </c>
    </row>
    <row r="13" spans="1:38" s="18" customFormat="1" x14ac:dyDescent="0.2">
      <c r="A13" s="185"/>
      <c r="B13" s="8" t="s">
        <v>540</v>
      </c>
      <c r="C13" s="9" t="s">
        <v>551</v>
      </c>
      <c r="D13" s="9" t="s">
        <v>552</v>
      </c>
      <c r="E13" s="11">
        <v>20.9</v>
      </c>
      <c r="F13" s="11">
        <v>1</v>
      </c>
      <c r="G13" s="11">
        <v>0.62</v>
      </c>
      <c r="H13" s="13">
        <f t="shared" si="0"/>
        <v>0.81</v>
      </c>
      <c r="I13" s="14">
        <v>100</v>
      </c>
      <c r="J13" s="15">
        <f t="shared" si="16"/>
        <v>20.9</v>
      </c>
      <c r="K13" s="15" t="str">
        <f t="shared" si="17"/>
        <v/>
      </c>
      <c r="L13" s="16">
        <v>0.65</v>
      </c>
      <c r="M13" s="14" t="s">
        <v>134</v>
      </c>
      <c r="N13" s="17"/>
      <c r="O13" s="13">
        <f t="shared" si="1"/>
        <v>0</v>
      </c>
      <c r="P13" s="13">
        <f t="shared" si="2"/>
        <v>0</v>
      </c>
      <c r="Q13" s="13">
        <f t="shared" si="3"/>
        <v>0</v>
      </c>
      <c r="R13" s="13">
        <f t="shared" si="4"/>
        <v>0</v>
      </c>
      <c r="S13" s="13">
        <f t="shared" si="5"/>
        <v>11.5540425</v>
      </c>
      <c r="T13" s="13">
        <f t="shared" si="18"/>
        <v>0.57770212499999996</v>
      </c>
      <c r="U13" s="13">
        <f t="shared" si="19"/>
        <v>10.976340374999999</v>
      </c>
      <c r="V13" s="13">
        <f t="shared" si="6"/>
        <v>0.54881701874999989</v>
      </c>
      <c r="W13" s="13">
        <f t="shared" si="7"/>
        <v>2.8885106250000001E-2</v>
      </c>
      <c r="X13" s="13">
        <f t="shared" si="8"/>
        <v>0</v>
      </c>
      <c r="Y13" s="13">
        <f t="shared" si="9"/>
        <v>0</v>
      </c>
      <c r="Z13" s="13">
        <f t="shared" si="10"/>
        <v>0</v>
      </c>
      <c r="AA13" s="13">
        <f t="shared" si="20"/>
        <v>10.317759952499999</v>
      </c>
      <c r="AB13" s="13">
        <f t="shared" si="21"/>
        <v>0.54881701875</v>
      </c>
      <c r="AC13" s="13">
        <f t="shared" si="22"/>
        <v>0</v>
      </c>
      <c r="AD13" s="13">
        <f t="shared" si="23"/>
        <v>0</v>
      </c>
      <c r="AE13" s="13">
        <f t="shared" si="24"/>
        <v>0</v>
      </c>
      <c r="AF13" s="13">
        <f t="shared" si="25"/>
        <v>0</v>
      </c>
      <c r="AG13" s="13">
        <f t="shared" si="11"/>
        <v>0.10976340375</v>
      </c>
      <c r="AH13" s="13">
        <f t="shared" si="12"/>
        <v>13.584999999999999</v>
      </c>
      <c r="AI13" s="13">
        <f t="shared" si="13"/>
        <v>11.5540425</v>
      </c>
      <c r="AJ13" s="13">
        <f t="shared" si="14"/>
        <v>0</v>
      </c>
      <c r="AK13" s="13">
        <f t="shared" si="15"/>
        <v>0</v>
      </c>
      <c r="AL13" s="19"/>
    </row>
    <row r="14" spans="1:38" s="18" customFormat="1" x14ac:dyDescent="0.2">
      <c r="A14" s="185"/>
      <c r="B14" s="8" t="s">
        <v>540</v>
      </c>
      <c r="C14" s="9" t="s">
        <v>552</v>
      </c>
      <c r="D14" s="9" t="s">
        <v>553</v>
      </c>
      <c r="E14" s="11">
        <v>2.9</v>
      </c>
      <c r="F14" s="11">
        <v>0.62</v>
      </c>
      <c r="G14" s="11">
        <v>0.68</v>
      </c>
      <c r="H14" s="13">
        <f t="shared" si="0"/>
        <v>0.65</v>
      </c>
      <c r="I14" s="14">
        <v>100</v>
      </c>
      <c r="J14" s="15">
        <f t="shared" si="16"/>
        <v>2.9</v>
      </c>
      <c r="K14" s="15" t="str">
        <f t="shared" si="17"/>
        <v/>
      </c>
      <c r="L14" s="16">
        <v>0.65</v>
      </c>
      <c r="M14" s="14" t="s">
        <v>134</v>
      </c>
      <c r="N14" s="17"/>
      <c r="O14" s="13">
        <f t="shared" si="1"/>
        <v>0</v>
      </c>
      <c r="P14" s="13">
        <f t="shared" si="2"/>
        <v>0</v>
      </c>
      <c r="Q14" s="13">
        <f t="shared" si="3"/>
        <v>0</v>
      </c>
      <c r="R14" s="13">
        <f t="shared" si="4"/>
        <v>0</v>
      </c>
      <c r="S14" s="13">
        <f t="shared" si="5"/>
        <v>1.2865124999999999</v>
      </c>
      <c r="T14" s="13">
        <f t="shared" si="18"/>
        <v>6.4325624999999997E-2</v>
      </c>
      <c r="U14" s="13">
        <f t="shared" si="19"/>
        <v>1.2221868749999998</v>
      </c>
      <c r="V14" s="13">
        <f t="shared" si="6"/>
        <v>6.1109343749999996E-2</v>
      </c>
      <c r="W14" s="13">
        <f t="shared" si="7"/>
        <v>3.21628125E-3</v>
      </c>
      <c r="X14" s="13">
        <f t="shared" si="8"/>
        <v>0</v>
      </c>
      <c r="Y14" s="13">
        <f t="shared" si="9"/>
        <v>0</v>
      </c>
      <c r="Z14" s="13">
        <f t="shared" si="10"/>
        <v>0</v>
      </c>
      <c r="AA14" s="13">
        <f t="shared" si="20"/>
        <v>1.1488556624999997</v>
      </c>
      <c r="AB14" s="13">
        <f t="shared" si="21"/>
        <v>6.1109343749999989E-2</v>
      </c>
      <c r="AC14" s="13">
        <f t="shared" si="22"/>
        <v>0</v>
      </c>
      <c r="AD14" s="13">
        <f t="shared" si="23"/>
        <v>0</v>
      </c>
      <c r="AE14" s="13">
        <f t="shared" si="24"/>
        <v>0</v>
      </c>
      <c r="AF14" s="13">
        <f t="shared" si="25"/>
        <v>0</v>
      </c>
      <c r="AG14" s="13">
        <f t="shared" si="11"/>
        <v>1.2221868749999998E-2</v>
      </c>
      <c r="AH14" s="13">
        <f t="shared" si="12"/>
        <v>1.885</v>
      </c>
      <c r="AI14" s="13">
        <f t="shared" si="13"/>
        <v>1.2865124999999999</v>
      </c>
      <c r="AJ14" s="13">
        <f t="shared" si="14"/>
        <v>0</v>
      </c>
      <c r="AK14" s="13">
        <f t="shared" si="15"/>
        <v>0</v>
      </c>
      <c r="AL14" s="19"/>
    </row>
    <row r="15" spans="1:38" s="18" customFormat="1" x14ac:dyDescent="0.2">
      <c r="A15" s="185"/>
      <c r="B15" s="8" t="s">
        <v>540</v>
      </c>
      <c r="C15" s="9" t="s">
        <v>553</v>
      </c>
      <c r="D15" s="9" t="s">
        <v>554</v>
      </c>
      <c r="E15" s="11">
        <v>11.15</v>
      </c>
      <c r="F15" s="11">
        <v>0.68</v>
      </c>
      <c r="G15" s="11">
        <v>0.5</v>
      </c>
      <c r="H15" s="13">
        <f t="shared" si="0"/>
        <v>0.59000000000000008</v>
      </c>
      <c r="I15" s="14">
        <v>150</v>
      </c>
      <c r="J15" s="15" t="str">
        <f t="shared" si="16"/>
        <v/>
      </c>
      <c r="K15" s="15">
        <f t="shared" si="17"/>
        <v>11.15</v>
      </c>
      <c r="L15" s="16">
        <v>0.65</v>
      </c>
      <c r="M15" s="14" t="s">
        <v>134</v>
      </c>
      <c r="N15" s="17"/>
      <c r="O15" s="13">
        <f t="shared" si="1"/>
        <v>0</v>
      </c>
      <c r="P15" s="13">
        <f t="shared" si="2"/>
        <v>0</v>
      </c>
      <c r="Q15" s="13">
        <f t="shared" si="3"/>
        <v>0</v>
      </c>
      <c r="R15" s="13">
        <f t="shared" si="4"/>
        <v>0</v>
      </c>
      <c r="S15" s="13">
        <f t="shared" si="5"/>
        <v>4.489826250000001</v>
      </c>
      <c r="T15" s="13">
        <f t="shared" si="18"/>
        <v>0.22449131250000007</v>
      </c>
      <c r="U15" s="13">
        <f t="shared" si="19"/>
        <v>4.2653349375000005</v>
      </c>
      <c r="V15" s="13">
        <f t="shared" si="6"/>
        <v>0.21326674687500005</v>
      </c>
      <c r="W15" s="13">
        <f t="shared" si="7"/>
        <v>1.1224565625000004E-2</v>
      </c>
      <c r="X15" s="13">
        <f t="shared" si="8"/>
        <v>0</v>
      </c>
      <c r="Y15" s="13">
        <f t="shared" si="9"/>
        <v>0</v>
      </c>
      <c r="Z15" s="13">
        <f t="shared" si="10"/>
        <v>0</v>
      </c>
      <c r="AA15" s="13">
        <f t="shared" si="20"/>
        <v>4.0094148412499999</v>
      </c>
      <c r="AB15" s="13">
        <f t="shared" si="21"/>
        <v>0.21326674687500002</v>
      </c>
      <c r="AC15" s="13">
        <f t="shared" si="22"/>
        <v>0</v>
      </c>
      <c r="AD15" s="13">
        <f t="shared" si="23"/>
        <v>0</v>
      </c>
      <c r="AE15" s="13">
        <f t="shared" si="24"/>
        <v>0</v>
      </c>
      <c r="AF15" s="13">
        <f t="shared" si="25"/>
        <v>0</v>
      </c>
      <c r="AG15" s="13">
        <f t="shared" si="11"/>
        <v>4.2653349375000003E-2</v>
      </c>
      <c r="AH15" s="13">
        <f t="shared" si="12"/>
        <v>7.2475000000000005</v>
      </c>
      <c r="AI15" s="13">
        <f t="shared" si="13"/>
        <v>4.489826250000001</v>
      </c>
      <c r="AJ15" s="13">
        <f t="shared" si="14"/>
        <v>0</v>
      </c>
      <c r="AK15" s="13">
        <f t="shared" si="15"/>
        <v>0</v>
      </c>
      <c r="AL15" s="19"/>
    </row>
    <row r="16" spans="1:38" s="18" customFormat="1" x14ac:dyDescent="0.2">
      <c r="A16" s="185"/>
      <c r="B16" s="8" t="s">
        <v>540</v>
      </c>
      <c r="C16" s="9" t="s">
        <v>555</v>
      </c>
      <c r="D16" s="9" t="s">
        <v>556</v>
      </c>
      <c r="E16" s="11">
        <v>4.4000000000000004</v>
      </c>
      <c r="F16" s="11">
        <v>0</v>
      </c>
      <c r="G16" s="11">
        <v>0.4</v>
      </c>
      <c r="H16" s="13">
        <f t="shared" si="0"/>
        <v>0.2</v>
      </c>
      <c r="I16" s="14">
        <v>100</v>
      </c>
      <c r="J16" s="15">
        <f t="shared" si="16"/>
        <v>4.4000000000000004</v>
      </c>
      <c r="K16" s="15" t="str">
        <f t="shared" si="17"/>
        <v/>
      </c>
      <c r="L16" s="16">
        <v>0.65</v>
      </c>
      <c r="M16" s="14" t="s">
        <v>134</v>
      </c>
      <c r="N16" s="17"/>
      <c r="O16" s="13">
        <f t="shared" si="1"/>
        <v>0</v>
      </c>
      <c r="P16" s="13">
        <f t="shared" si="2"/>
        <v>0</v>
      </c>
      <c r="Q16" s="13">
        <f t="shared" si="3"/>
        <v>0</v>
      </c>
      <c r="R16" s="13">
        <f t="shared" si="4"/>
        <v>0</v>
      </c>
      <c r="S16" s="13">
        <f t="shared" si="5"/>
        <v>0.60060000000000013</v>
      </c>
      <c r="T16" s="13">
        <f t="shared" si="18"/>
        <v>3.0030000000000008E-2</v>
      </c>
      <c r="U16" s="13">
        <f t="shared" si="19"/>
        <v>0.57057000000000013</v>
      </c>
      <c r="V16" s="13">
        <f t="shared" si="6"/>
        <v>2.8528500000000005E-2</v>
      </c>
      <c r="W16" s="13">
        <f t="shared" si="7"/>
        <v>1.5015000000000004E-3</v>
      </c>
      <c r="X16" s="13">
        <f t="shared" si="8"/>
        <v>0</v>
      </c>
      <c r="Y16" s="13">
        <f t="shared" si="9"/>
        <v>0</v>
      </c>
      <c r="Z16" s="13">
        <f t="shared" si="10"/>
        <v>0</v>
      </c>
      <c r="AA16" s="13">
        <f t="shared" si="20"/>
        <v>0.53633580000000014</v>
      </c>
      <c r="AB16" s="13">
        <f t="shared" si="21"/>
        <v>2.8528500000000009E-2</v>
      </c>
      <c r="AC16" s="13">
        <f t="shared" si="22"/>
        <v>0</v>
      </c>
      <c r="AD16" s="13">
        <f t="shared" si="23"/>
        <v>0</v>
      </c>
      <c r="AE16" s="13">
        <f t="shared" si="24"/>
        <v>0</v>
      </c>
      <c r="AF16" s="13">
        <f t="shared" si="25"/>
        <v>0</v>
      </c>
      <c r="AG16" s="13">
        <f t="shared" si="11"/>
        <v>5.705700000000001E-3</v>
      </c>
      <c r="AH16" s="13">
        <f t="shared" si="12"/>
        <v>2.8600000000000003</v>
      </c>
      <c r="AI16" s="13">
        <f t="shared" si="13"/>
        <v>0.60060000000000013</v>
      </c>
      <c r="AJ16" s="13">
        <f t="shared" si="14"/>
        <v>0</v>
      </c>
      <c r="AK16" s="13">
        <f t="shared" si="15"/>
        <v>0</v>
      </c>
      <c r="AL16" s="19"/>
    </row>
    <row r="17" spans="1:38" s="18" customFormat="1" x14ac:dyDescent="0.2">
      <c r="A17" s="185"/>
      <c r="B17" s="8" t="s">
        <v>540</v>
      </c>
      <c r="C17" s="9" t="s">
        <v>556</v>
      </c>
      <c r="D17" s="9" t="s">
        <v>557</v>
      </c>
      <c r="E17" s="11">
        <v>7.2</v>
      </c>
      <c r="F17" s="11">
        <v>0.4</v>
      </c>
      <c r="G17" s="11">
        <v>0.44</v>
      </c>
      <c r="H17" s="13">
        <f t="shared" si="0"/>
        <v>0.42000000000000004</v>
      </c>
      <c r="I17" s="14">
        <v>150</v>
      </c>
      <c r="J17" s="15" t="str">
        <f t="shared" si="16"/>
        <v/>
      </c>
      <c r="K17" s="15">
        <f t="shared" si="17"/>
        <v>7.2</v>
      </c>
      <c r="L17" s="16">
        <v>0.65</v>
      </c>
      <c r="M17" s="14" t="s">
        <v>134</v>
      </c>
      <c r="N17" s="17"/>
      <c r="O17" s="13">
        <f t="shared" si="1"/>
        <v>0</v>
      </c>
      <c r="P17" s="13">
        <f t="shared" si="2"/>
        <v>0</v>
      </c>
      <c r="Q17" s="13">
        <f t="shared" si="3"/>
        <v>0</v>
      </c>
      <c r="R17" s="13">
        <f t="shared" si="4"/>
        <v>0</v>
      </c>
      <c r="S17" s="13">
        <f t="shared" si="5"/>
        <v>2.0638800000000006</v>
      </c>
      <c r="T17" s="13">
        <f t="shared" si="18"/>
        <v>0.10319400000000004</v>
      </c>
      <c r="U17" s="13">
        <f t="shared" si="19"/>
        <v>1.9606860000000004</v>
      </c>
      <c r="V17" s="13">
        <f t="shared" si="6"/>
        <v>9.8034300000000033E-2</v>
      </c>
      <c r="W17" s="13">
        <f t="shared" si="7"/>
        <v>5.1597000000000023E-3</v>
      </c>
      <c r="X17" s="13">
        <f t="shared" si="8"/>
        <v>0</v>
      </c>
      <c r="Y17" s="13">
        <f t="shared" si="9"/>
        <v>0</v>
      </c>
      <c r="Z17" s="13">
        <f t="shared" si="10"/>
        <v>0</v>
      </c>
      <c r="AA17" s="13">
        <f t="shared" si="20"/>
        <v>1.8430448400000004</v>
      </c>
      <c r="AB17" s="13">
        <f t="shared" si="21"/>
        <v>9.8034300000000019E-2</v>
      </c>
      <c r="AC17" s="13">
        <f t="shared" si="22"/>
        <v>0</v>
      </c>
      <c r="AD17" s="13">
        <f t="shared" si="23"/>
        <v>0</v>
      </c>
      <c r="AE17" s="13">
        <f t="shared" si="24"/>
        <v>0</v>
      </c>
      <c r="AF17" s="13">
        <f t="shared" si="25"/>
        <v>0</v>
      </c>
      <c r="AG17" s="13">
        <f t="shared" si="11"/>
        <v>1.9606860000000004E-2</v>
      </c>
      <c r="AH17" s="13">
        <f t="shared" si="12"/>
        <v>4.6800000000000006</v>
      </c>
      <c r="AI17" s="13">
        <f t="shared" si="13"/>
        <v>2.0638800000000006</v>
      </c>
      <c r="AJ17" s="13">
        <f t="shared" si="14"/>
        <v>0</v>
      </c>
      <c r="AK17" s="13">
        <f t="shared" si="15"/>
        <v>0</v>
      </c>
      <c r="AL17" s="19"/>
    </row>
    <row r="18" spans="1:38" s="18" customFormat="1" x14ac:dyDescent="0.2">
      <c r="A18" s="185"/>
      <c r="B18" s="8" t="s">
        <v>540</v>
      </c>
      <c r="C18" s="9" t="s">
        <v>558</v>
      </c>
      <c r="D18" s="9" t="s">
        <v>557</v>
      </c>
      <c r="E18" s="11">
        <v>6.2</v>
      </c>
      <c r="F18" s="11">
        <v>0.2</v>
      </c>
      <c r="G18" s="11">
        <v>0.44</v>
      </c>
      <c r="H18" s="13">
        <f t="shared" si="0"/>
        <v>0.32</v>
      </c>
      <c r="I18" s="14">
        <v>100</v>
      </c>
      <c r="J18" s="15">
        <f t="shared" si="16"/>
        <v>6.2</v>
      </c>
      <c r="K18" s="15" t="str">
        <f t="shared" si="17"/>
        <v/>
      </c>
      <c r="L18" s="16">
        <v>0.65</v>
      </c>
      <c r="M18" s="14" t="s">
        <v>134</v>
      </c>
      <c r="N18" s="17"/>
      <c r="O18" s="13">
        <f t="shared" si="1"/>
        <v>0</v>
      </c>
      <c r="P18" s="13">
        <f t="shared" si="2"/>
        <v>0</v>
      </c>
      <c r="Q18" s="13">
        <f t="shared" si="3"/>
        <v>0</v>
      </c>
      <c r="R18" s="13">
        <f t="shared" si="4"/>
        <v>0</v>
      </c>
      <c r="S18" s="13">
        <f t="shared" si="5"/>
        <v>1.3540800000000002</v>
      </c>
      <c r="T18" s="13">
        <f t="shared" si="18"/>
        <v>6.7704000000000014E-2</v>
      </c>
      <c r="U18" s="13">
        <f t="shared" si="19"/>
        <v>1.2863760000000002</v>
      </c>
      <c r="V18" s="13">
        <f t="shared" si="6"/>
        <v>6.4318800000000009E-2</v>
      </c>
      <c r="W18" s="13">
        <f t="shared" si="7"/>
        <v>3.385200000000001E-3</v>
      </c>
      <c r="X18" s="13">
        <f t="shared" si="8"/>
        <v>0</v>
      </c>
      <c r="Y18" s="13">
        <f t="shared" si="9"/>
        <v>0</v>
      </c>
      <c r="Z18" s="13">
        <f t="shared" si="10"/>
        <v>0</v>
      </c>
      <c r="AA18" s="13">
        <f t="shared" si="20"/>
        <v>1.2091934400000002</v>
      </c>
      <c r="AB18" s="13">
        <f t="shared" si="21"/>
        <v>6.4318800000000009E-2</v>
      </c>
      <c r="AC18" s="13">
        <f t="shared" si="22"/>
        <v>0</v>
      </c>
      <c r="AD18" s="13">
        <f t="shared" si="23"/>
        <v>0</v>
      </c>
      <c r="AE18" s="13">
        <f t="shared" si="24"/>
        <v>0</v>
      </c>
      <c r="AF18" s="13">
        <f t="shared" si="25"/>
        <v>0</v>
      </c>
      <c r="AG18" s="13">
        <f t="shared" si="11"/>
        <v>1.2863760000000002E-2</v>
      </c>
      <c r="AH18" s="13">
        <f t="shared" si="12"/>
        <v>4.03</v>
      </c>
      <c r="AI18" s="13">
        <f t="shared" si="13"/>
        <v>1.3540800000000002</v>
      </c>
      <c r="AJ18" s="13">
        <f t="shared" si="14"/>
        <v>0</v>
      </c>
      <c r="AK18" s="13">
        <f t="shared" si="15"/>
        <v>0</v>
      </c>
      <c r="AL18" s="19"/>
    </row>
    <row r="19" spans="1:38" s="18" customFormat="1" x14ac:dyDescent="0.2">
      <c r="A19" s="185"/>
      <c r="B19" s="8" t="s">
        <v>540</v>
      </c>
      <c r="C19" s="9" t="s">
        <v>557</v>
      </c>
      <c r="D19" s="9" t="s">
        <v>559</v>
      </c>
      <c r="E19" s="11">
        <v>11.6</v>
      </c>
      <c r="F19" s="11">
        <v>0.44</v>
      </c>
      <c r="G19" s="11">
        <v>0.5</v>
      </c>
      <c r="H19" s="13">
        <f t="shared" si="0"/>
        <v>0.47</v>
      </c>
      <c r="I19" s="14">
        <v>150</v>
      </c>
      <c r="J19" s="15" t="str">
        <f t="shared" si="16"/>
        <v/>
      </c>
      <c r="K19" s="15">
        <f t="shared" si="17"/>
        <v>11.6</v>
      </c>
      <c r="L19" s="16">
        <v>0.65</v>
      </c>
      <c r="M19" s="14" t="s">
        <v>134</v>
      </c>
      <c r="N19" s="17"/>
      <c r="O19" s="13">
        <f t="shared" si="1"/>
        <v>0</v>
      </c>
      <c r="P19" s="13">
        <f t="shared" si="2"/>
        <v>0</v>
      </c>
      <c r="Q19" s="13">
        <f t="shared" si="3"/>
        <v>0</v>
      </c>
      <c r="R19" s="13">
        <f t="shared" si="4"/>
        <v>0</v>
      </c>
      <c r="S19" s="13">
        <f t="shared" si="5"/>
        <v>3.72099</v>
      </c>
      <c r="T19" s="13">
        <f t="shared" si="18"/>
        <v>0.18604950000000001</v>
      </c>
      <c r="U19" s="13">
        <f t="shared" si="19"/>
        <v>3.5349404999999998</v>
      </c>
      <c r="V19" s="13">
        <f t="shared" si="6"/>
        <v>0.176747025</v>
      </c>
      <c r="W19" s="13">
        <f t="shared" si="7"/>
        <v>9.302475000000001E-3</v>
      </c>
      <c r="X19" s="13">
        <f t="shared" si="8"/>
        <v>0</v>
      </c>
      <c r="Y19" s="13">
        <f t="shared" si="9"/>
        <v>0</v>
      </c>
      <c r="Z19" s="13">
        <f t="shared" si="10"/>
        <v>0</v>
      </c>
      <c r="AA19" s="13">
        <f t="shared" si="20"/>
        <v>3.3228440699999995</v>
      </c>
      <c r="AB19" s="13">
        <f t="shared" si="21"/>
        <v>0.176747025</v>
      </c>
      <c r="AC19" s="13">
        <f t="shared" si="22"/>
        <v>0</v>
      </c>
      <c r="AD19" s="13">
        <f t="shared" si="23"/>
        <v>0</v>
      </c>
      <c r="AE19" s="13">
        <f t="shared" si="24"/>
        <v>0</v>
      </c>
      <c r="AF19" s="13">
        <f t="shared" si="25"/>
        <v>0</v>
      </c>
      <c r="AG19" s="13">
        <f t="shared" si="11"/>
        <v>3.5349405E-2</v>
      </c>
      <c r="AH19" s="13">
        <f t="shared" si="12"/>
        <v>7.54</v>
      </c>
      <c r="AI19" s="13">
        <f t="shared" si="13"/>
        <v>3.72099</v>
      </c>
      <c r="AJ19" s="13">
        <f t="shared" si="14"/>
        <v>0</v>
      </c>
      <c r="AK19" s="13">
        <f t="shared" si="15"/>
        <v>0</v>
      </c>
      <c r="AL19" s="19"/>
    </row>
    <row r="20" spans="1:38" s="18" customFormat="1" x14ac:dyDescent="0.2">
      <c r="A20" s="185"/>
      <c r="B20" s="8" t="s">
        <v>540</v>
      </c>
      <c r="C20" s="9" t="s">
        <v>559</v>
      </c>
      <c r="D20" s="9" t="s">
        <v>560</v>
      </c>
      <c r="E20" s="11">
        <v>28.3</v>
      </c>
      <c r="F20" s="11">
        <v>0.5</v>
      </c>
      <c r="G20" s="11">
        <v>0.7</v>
      </c>
      <c r="H20" s="13">
        <f t="shared" si="0"/>
        <v>0.6</v>
      </c>
      <c r="I20" s="14">
        <v>150</v>
      </c>
      <c r="J20" s="15" t="str">
        <f t="shared" si="16"/>
        <v/>
      </c>
      <c r="K20" s="15">
        <f t="shared" si="17"/>
        <v>28.3</v>
      </c>
      <c r="L20" s="16">
        <v>0.65</v>
      </c>
      <c r="M20" s="14" t="s">
        <v>134</v>
      </c>
      <c r="N20" s="17"/>
      <c r="O20" s="13">
        <f t="shared" si="1"/>
        <v>0</v>
      </c>
      <c r="P20" s="13">
        <f t="shared" si="2"/>
        <v>0</v>
      </c>
      <c r="Q20" s="13">
        <f t="shared" si="3"/>
        <v>0</v>
      </c>
      <c r="R20" s="13">
        <f t="shared" si="4"/>
        <v>0</v>
      </c>
      <c r="S20" s="13">
        <f t="shared" si="5"/>
        <v>11.588850000000001</v>
      </c>
      <c r="T20" s="13">
        <f t="shared" si="18"/>
        <v>0.57944250000000008</v>
      </c>
      <c r="U20" s="13">
        <f t="shared" si="19"/>
        <v>11.0094075</v>
      </c>
      <c r="V20" s="13">
        <f t="shared" si="6"/>
        <v>0.55047037500000007</v>
      </c>
      <c r="W20" s="13">
        <f t="shared" si="7"/>
        <v>2.8972125000000005E-2</v>
      </c>
      <c r="X20" s="13">
        <f t="shared" si="8"/>
        <v>0</v>
      </c>
      <c r="Y20" s="13">
        <f t="shared" si="9"/>
        <v>0</v>
      </c>
      <c r="Z20" s="13">
        <f t="shared" si="10"/>
        <v>0</v>
      </c>
      <c r="AA20" s="13">
        <f t="shared" si="20"/>
        <v>10.348843049999999</v>
      </c>
      <c r="AB20" s="13">
        <f t="shared" si="21"/>
        <v>0.55047037500000007</v>
      </c>
      <c r="AC20" s="13">
        <f t="shared" si="22"/>
        <v>0</v>
      </c>
      <c r="AD20" s="13">
        <f t="shared" si="23"/>
        <v>0</v>
      </c>
      <c r="AE20" s="13">
        <f t="shared" si="24"/>
        <v>0</v>
      </c>
      <c r="AF20" s="13">
        <f t="shared" si="25"/>
        <v>0</v>
      </c>
      <c r="AG20" s="13">
        <f t="shared" si="11"/>
        <v>0.110094075</v>
      </c>
      <c r="AH20" s="13">
        <f t="shared" si="12"/>
        <v>18.395</v>
      </c>
      <c r="AI20" s="13">
        <f t="shared" si="13"/>
        <v>11.588850000000001</v>
      </c>
      <c r="AJ20" s="13">
        <f t="shared" si="14"/>
        <v>0</v>
      </c>
      <c r="AK20" s="13">
        <f t="shared" si="15"/>
        <v>0</v>
      </c>
      <c r="AL20" s="19"/>
    </row>
    <row r="21" spans="1:38" s="18" customFormat="1" x14ac:dyDescent="0.2">
      <c r="A21" s="185"/>
      <c r="B21" s="8" t="s">
        <v>540</v>
      </c>
      <c r="C21" s="9" t="s">
        <v>560</v>
      </c>
      <c r="D21" s="9" t="s">
        <v>563</v>
      </c>
      <c r="E21" s="11">
        <v>19</v>
      </c>
      <c r="F21" s="11">
        <v>0.7</v>
      </c>
      <c r="G21" s="11">
        <v>1.8</v>
      </c>
      <c r="H21" s="13">
        <f t="shared" si="0"/>
        <v>1.25</v>
      </c>
      <c r="I21" s="14">
        <v>150</v>
      </c>
      <c r="J21" s="15" t="str">
        <f t="shared" si="16"/>
        <v/>
      </c>
      <c r="K21" s="15">
        <f t="shared" si="17"/>
        <v>19</v>
      </c>
      <c r="L21" s="16">
        <v>0.8</v>
      </c>
      <c r="M21" s="14" t="s">
        <v>134</v>
      </c>
      <c r="N21" s="17"/>
      <c r="O21" s="13">
        <f t="shared" si="1"/>
        <v>0</v>
      </c>
      <c r="P21" s="13">
        <f t="shared" si="2"/>
        <v>0</v>
      </c>
      <c r="Q21" s="13">
        <f t="shared" si="3"/>
        <v>0</v>
      </c>
      <c r="R21" s="13">
        <f t="shared" si="4"/>
        <v>0</v>
      </c>
      <c r="S21" s="13">
        <f t="shared" si="5"/>
        <v>19.95</v>
      </c>
      <c r="T21" s="13">
        <f t="shared" si="18"/>
        <v>0.99750000000000005</v>
      </c>
      <c r="U21" s="13">
        <f t="shared" si="19"/>
        <v>18.952499999999997</v>
      </c>
      <c r="V21" s="13">
        <f t="shared" si="6"/>
        <v>0.94762500000000005</v>
      </c>
      <c r="W21" s="13">
        <f t="shared" si="7"/>
        <v>4.9875000000000003E-2</v>
      </c>
      <c r="X21" s="13">
        <f t="shared" si="8"/>
        <v>0</v>
      </c>
      <c r="Y21" s="13">
        <f t="shared" si="9"/>
        <v>0</v>
      </c>
      <c r="Z21" s="13">
        <f t="shared" si="10"/>
        <v>0</v>
      </c>
      <c r="AA21" s="13">
        <f t="shared" si="20"/>
        <v>17.815349999999995</v>
      </c>
      <c r="AB21" s="13">
        <f t="shared" si="21"/>
        <v>0.94762499999999994</v>
      </c>
      <c r="AC21" s="13">
        <f t="shared" si="22"/>
        <v>0</v>
      </c>
      <c r="AD21" s="13">
        <f t="shared" si="23"/>
        <v>0</v>
      </c>
      <c r="AE21" s="13">
        <f t="shared" si="24"/>
        <v>0</v>
      </c>
      <c r="AF21" s="13">
        <f t="shared" si="25"/>
        <v>0</v>
      </c>
      <c r="AG21" s="13">
        <f t="shared" si="11"/>
        <v>0.18952499999999997</v>
      </c>
      <c r="AH21" s="13">
        <f t="shared" si="12"/>
        <v>15.200000000000001</v>
      </c>
      <c r="AI21" s="13">
        <f t="shared" si="13"/>
        <v>19.95</v>
      </c>
      <c r="AJ21" s="13">
        <f t="shared" si="14"/>
        <v>47.5</v>
      </c>
      <c r="AK21" s="13">
        <f t="shared" si="15"/>
        <v>0</v>
      </c>
      <c r="AL21" s="19"/>
    </row>
    <row r="22" spans="1:38" x14ac:dyDescent="0.2">
      <c r="B22" s="322"/>
      <c r="C22" s="323"/>
      <c r="D22" s="323"/>
      <c r="E22" s="323"/>
      <c r="F22" s="323"/>
      <c r="G22" s="323"/>
      <c r="H22" s="323"/>
      <c r="I22" s="323"/>
      <c r="J22" s="323"/>
      <c r="K22" s="323"/>
      <c r="L22" s="323"/>
      <c r="M22" s="323"/>
      <c r="N22" s="323"/>
      <c r="O22" s="323"/>
      <c r="P22" s="323"/>
      <c r="Q22" s="323"/>
      <c r="R22" s="323"/>
      <c r="S22" s="323"/>
      <c r="T22" s="323"/>
      <c r="U22" s="323"/>
      <c r="V22" s="323"/>
      <c r="W22" s="323"/>
      <c r="X22" s="323"/>
      <c r="Y22" s="323"/>
      <c r="Z22" s="323"/>
      <c r="AA22" s="323"/>
      <c r="AB22" s="323"/>
      <c r="AC22" s="323"/>
      <c r="AD22" s="323"/>
      <c r="AE22" s="323"/>
      <c r="AF22" s="323"/>
      <c r="AG22" s="323"/>
      <c r="AH22" s="323"/>
      <c r="AI22" s="323"/>
      <c r="AJ22" s="323"/>
      <c r="AK22" s="324"/>
      <c r="AL22" s="20"/>
    </row>
    <row r="23" spans="1:38" s="181" customFormat="1" x14ac:dyDescent="0.2">
      <c r="B23" s="348" t="s">
        <v>9</v>
      </c>
      <c r="C23" s="349"/>
      <c r="D23" s="350"/>
      <c r="E23" s="184">
        <f>SUM(E5:E21)</f>
        <v>217.1</v>
      </c>
      <c r="F23" s="21"/>
      <c r="G23" s="22"/>
      <c r="H23" s="23"/>
      <c r="I23" s="21"/>
      <c r="J23" s="184">
        <f>SUM(J5:J21)</f>
        <v>70.5</v>
      </c>
      <c r="K23" s="186">
        <f>SUM(K5:K21)</f>
        <v>146.60000000000002</v>
      </c>
      <c r="L23" s="22"/>
      <c r="M23" s="23"/>
      <c r="N23" s="184">
        <f t="shared" ref="N23:AI23" si="26">SUM(N5:N21)</f>
        <v>0</v>
      </c>
      <c r="O23" s="184">
        <f t="shared" si="26"/>
        <v>0</v>
      </c>
      <c r="P23" s="184">
        <f t="shared" si="26"/>
        <v>0</v>
      </c>
      <c r="Q23" s="24">
        <f t="shared" si="26"/>
        <v>0</v>
      </c>
      <c r="R23" s="184">
        <f t="shared" si="26"/>
        <v>0</v>
      </c>
      <c r="S23" s="184">
        <f t="shared" si="26"/>
        <v>111.31985812500001</v>
      </c>
      <c r="T23" s="184">
        <f t="shared" si="26"/>
        <v>5.5659929062500009</v>
      </c>
      <c r="U23" s="184">
        <f t="shared" si="26"/>
        <v>105.75386521875001</v>
      </c>
      <c r="V23" s="184">
        <f t="shared" si="26"/>
        <v>5.2876932609375018</v>
      </c>
      <c r="W23" s="184">
        <f t="shared" si="26"/>
        <v>0.27829964531250007</v>
      </c>
      <c r="X23" s="184">
        <f t="shared" si="26"/>
        <v>0</v>
      </c>
      <c r="Y23" s="184">
        <f t="shared" si="26"/>
        <v>0</v>
      </c>
      <c r="Z23" s="184">
        <f t="shared" si="26"/>
        <v>0</v>
      </c>
      <c r="AA23" s="184">
        <f t="shared" si="26"/>
        <v>99.408633305625017</v>
      </c>
      <c r="AB23" s="184">
        <f t="shared" si="26"/>
        <v>5.2876932609375</v>
      </c>
      <c r="AC23" s="184">
        <f t="shared" si="26"/>
        <v>0</v>
      </c>
      <c r="AD23" s="184">
        <f t="shared" si="26"/>
        <v>0</v>
      </c>
      <c r="AE23" s="184">
        <f t="shared" si="26"/>
        <v>0</v>
      </c>
      <c r="AF23" s="184">
        <f t="shared" si="26"/>
        <v>0</v>
      </c>
      <c r="AG23" s="184">
        <f t="shared" si="26"/>
        <v>1.0575386521875001</v>
      </c>
      <c r="AH23" s="184">
        <f t="shared" si="26"/>
        <v>143.965</v>
      </c>
      <c r="AI23" s="184">
        <f t="shared" si="26"/>
        <v>111.31985812500001</v>
      </c>
      <c r="AJ23" s="184">
        <f>SUM(AJ5:AJ21)/5</f>
        <v>9.5</v>
      </c>
      <c r="AK23" s="184">
        <f>SUM(AK5:AK21)/5</f>
        <v>0</v>
      </c>
      <c r="AL23" s="25"/>
    </row>
    <row r="24" spans="1:38" x14ac:dyDescent="0.2">
      <c r="N24" s="182"/>
      <c r="O24" s="324" t="s">
        <v>29</v>
      </c>
      <c r="P24" s="309"/>
      <c r="Q24" s="309"/>
      <c r="R24" s="322"/>
      <c r="S24" s="123"/>
      <c r="T24" s="181"/>
      <c r="U24" s="181"/>
      <c r="V24" s="328"/>
      <c r="W24" s="328"/>
      <c r="X24" s="328"/>
      <c r="Y24" s="328"/>
      <c r="Z24" s="328"/>
      <c r="AA24" s="328"/>
      <c r="AB24" s="328"/>
      <c r="AC24" s="328"/>
      <c r="AD24" s="328"/>
      <c r="AE24" s="328"/>
      <c r="AF24" s="181"/>
      <c r="AG24" s="181"/>
      <c r="AJ24" s="26"/>
      <c r="AK24" s="26"/>
    </row>
    <row r="25" spans="1:38" x14ac:dyDescent="0.2">
      <c r="B25" s="312" t="s">
        <v>566</v>
      </c>
      <c r="C25" s="313"/>
      <c r="D25" s="313"/>
      <c r="E25" s="313"/>
      <c r="F25" s="313"/>
      <c r="G25" s="27">
        <f>J23</f>
        <v>70.5</v>
      </c>
      <c r="I25" s="2"/>
      <c r="O25" s="314">
        <f>(O23)*0.05</f>
        <v>0</v>
      </c>
      <c r="P25" s="314"/>
      <c r="Q25" s="314"/>
      <c r="R25" s="315"/>
      <c r="S25" s="122"/>
      <c r="T25" s="181"/>
      <c r="U25" s="181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J25" s="26"/>
      <c r="AK25" s="26"/>
    </row>
    <row r="26" spans="1:38" s="187" customFormat="1" x14ac:dyDescent="0.2">
      <c r="B26" s="312" t="s">
        <v>567</v>
      </c>
      <c r="C26" s="313"/>
      <c r="D26" s="313"/>
      <c r="E26" s="313"/>
      <c r="F26" s="313"/>
      <c r="G26" s="189">
        <f>K23</f>
        <v>146.60000000000002</v>
      </c>
      <c r="I26" s="2"/>
      <c r="L26" s="2"/>
      <c r="O26" s="190"/>
      <c r="P26" s="190"/>
      <c r="Q26" s="190"/>
      <c r="R26" s="190"/>
      <c r="S26" s="122"/>
      <c r="T26" s="188"/>
      <c r="U26" s="188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J26" s="26"/>
      <c r="AK26" s="26"/>
    </row>
    <row r="27" spans="1:38" x14ac:dyDescent="0.2">
      <c r="B27" s="316" t="s">
        <v>568</v>
      </c>
      <c r="C27" s="317"/>
      <c r="D27" s="317"/>
      <c r="E27" s="317"/>
      <c r="F27" s="317"/>
      <c r="G27" s="28" t="s">
        <v>570</v>
      </c>
      <c r="V27" s="309" t="s">
        <v>30</v>
      </c>
      <c r="W27" s="309"/>
      <c r="X27" s="309"/>
      <c r="Y27" s="309"/>
      <c r="Z27" s="309"/>
      <c r="AA27" s="309"/>
      <c r="AB27" s="309"/>
      <c r="AF27" s="181"/>
      <c r="AG27" s="181"/>
    </row>
    <row r="28" spans="1:38" x14ac:dyDescent="0.2">
      <c r="B28" s="318" t="s">
        <v>569</v>
      </c>
      <c r="C28" s="319"/>
      <c r="D28" s="319"/>
      <c r="E28" s="319"/>
      <c r="F28" s="319"/>
      <c r="G28" s="31" t="s">
        <v>571</v>
      </c>
      <c r="V28" s="310">
        <f>(W23+Y23+AB23+AD23)*1.3</f>
        <v>7.2357907781250006</v>
      </c>
      <c r="W28" s="310"/>
      <c r="X28" s="310"/>
      <c r="Y28" s="310"/>
      <c r="Z28" s="310"/>
      <c r="AA28" s="310"/>
      <c r="AB28" s="310"/>
      <c r="AC28" s="2"/>
      <c r="AD28" s="2"/>
      <c r="AE28" s="2"/>
      <c r="AF28" s="30"/>
      <c r="AG28" s="30"/>
      <c r="AJ28" s="2"/>
      <c r="AK28" s="2"/>
    </row>
    <row r="29" spans="1:38" x14ac:dyDescent="0.2">
      <c r="V29" s="309" t="s">
        <v>31</v>
      </c>
      <c r="W29" s="309"/>
      <c r="X29" s="309"/>
      <c r="Y29" s="309"/>
      <c r="Z29" s="309"/>
      <c r="AA29" s="309"/>
      <c r="AB29" s="309"/>
      <c r="AF29" s="181"/>
      <c r="AG29" s="181"/>
    </row>
    <row r="30" spans="1:38" x14ac:dyDescent="0.2">
      <c r="V30" s="310">
        <f>(AG23)*1.5</f>
        <v>1.5863079782812501</v>
      </c>
      <c r="W30" s="310"/>
      <c r="X30" s="310"/>
      <c r="Y30" s="310"/>
      <c r="Z30" s="310"/>
      <c r="AA30" s="310"/>
      <c r="AB30" s="310"/>
      <c r="AC30" s="2"/>
      <c r="AD30" s="2"/>
      <c r="AE30" s="2"/>
      <c r="AF30" s="30"/>
      <c r="AG30" s="30"/>
      <c r="AJ30" s="2"/>
      <c r="AK30" s="2"/>
    </row>
    <row r="31" spans="1:38" x14ac:dyDescent="0.2">
      <c r="V31" s="309" t="s">
        <v>32</v>
      </c>
      <c r="W31" s="309"/>
      <c r="X31" s="309"/>
      <c r="Y31" s="309"/>
      <c r="Z31" s="309"/>
      <c r="AA31" s="309"/>
      <c r="AB31" s="309"/>
      <c r="AF31" s="181"/>
      <c r="AG31" s="181"/>
    </row>
    <row r="32" spans="1:38" x14ac:dyDescent="0.2">
      <c r="F32" s="33"/>
      <c r="V32" s="310">
        <f>V28+V30</f>
        <v>8.8220987564062501</v>
      </c>
      <c r="W32" s="310"/>
      <c r="X32" s="310"/>
      <c r="Y32" s="310"/>
      <c r="Z32" s="310"/>
      <c r="AA32" s="310"/>
      <c r="AB32" s="310"/>
      <c r="AC32" s="2"/>
      <c r="AD32" s="2"/>
      <c r="AE32" s="2"/>
      <c r="AF32" s="30"/>
      <c r="AG32" s="30"/>
    </row>
    <row r="33" spans="6:34" x14ac:dyDescent="0.2">
      <c r="F33" s="33"/>
      <c r="V33" s="309" t="s">
        <v>165</v>
      </c>
      <c r="W33" s="309"/>
      <c r="X33" s="309"/>
      <c r="Y33" s="309"/>
      <c r="Z33" s="309"/>
      <c r="AA33" s="309"/>
      <c r="AB33" s="309"/>
      <c r="AF33" s="181"/>
      <c r="AG33" s="181"/>
      <c r="AH33" s="29"/>
    </row>
    <row r="34" spans="6:34" x14ac:dyDescent="0.2">
      <c r="V34" s="310">
        <f>V28*3</f>
        <v>21.707372334375002</v>
      </c>
      <c r="W34" s="310"/>
      <c r="X34" s="310"/>
      <c r="Y34" s="310"/>
      <c r="Z34" s="310"/>
      <c r="AA34" s="310"/>
      <c r="AB34" s="310"/>
      <c r="AC34" s="2"/>
      <c r="AD34" s="2"/>
      <c r="AE34" s="2"/>
      <c r="AF34" s="30"/>
      <c r="AG34" s="30"/>
      <c r="AH34" s="2"/>
    </row>
    <row r="35" spans="6:34" x14ac:dyDescent="0.2">
      <c r="V35" s="309" t="s">
        <v>170</v>
      </c>
      <c r="W35" s="309"/>
      <c r="X35" s="309"/>
      <c r="Y35" s="309"/>
      <c r="Z35" s="309"/>
      <c r="AA35" s="309"/>
      <c r="AB35" s="309"/>
      <c r="AC35" s="2"/>
      <c r="AD35" s="2"/>
      <c r="AE35" s="2"/>
      <c r="AF35" s="30"/>
      <c r="AG35" s="30"/>
      <c r="AH35" s="2"/>
    </row>
    <row r="36" spans="6:34" x14ac:dyDescent="0.2">
      <c r="V36" s="310">
        <f>V30*3</f>
        <v>4.7589239348437502</v>
      </c>
      <c r="W36" s="310"/>
      <c r="X36" s="310"/>
      <c r="Y36" s="310"/>
      <c r="Z36" s="310"/>
      <c r="AA36" s="310"/>
      <c r="AB36" s="310"/>
      <c r="AC36" s="2"/>
      <c r="AD36" s="2"/>
      <c r="AE36" s="2"/>
      <c r="AF36" s="30"/>
      <c r="AG36" s="30"/>
      <c r="AH36" s="2"/>
    </row>
    <row r="37" spans="6:34" x14ac:dyDescent="0.2">
      <c r="V37" s="309" t="s">
        <v>33</v>
      </c>
      <c r="W37" s="309"/>
      <c r="X37" s="309"/>
      <c r="Y37" s="309"/>
      <c r="Z37" s="309"/>
      <c r="AA37" s="309"/>
      <c r="AB37" s="309"/>
      <c r="AF37" s="181"/>
      <c r="AG37" s="181"/>
    </row>
    <row r="38" spans="6:34" x14ac:dyDescent="0.2">
      <c r="V38" s="310">
        <f>W23+AB23+AG23+Y23+AD23</f>
        <v>6.6235315584375005</v>
      </c>
      <c r="W38" s="310"/>
      <c r="X38" s="310"/>
      <c r="Y38" s="310"/>
      <c r="Z38" s="310"/>
      <c r="AA38" s="310"/>
      <c r="AB38" s="310"/>
      <c r="AC38" s="2"/>
      <c r="AD38" s="2"/>
      <c r="AE38" s="2"/>
      <c r="AF38" s="30"/>
      <c r="AG38" s="30"/>
    </row>
  </sheetData>
  <autoFilter ref="A4:AJ21" xr:uid="{00000000-0009-0000-0000-000011000000}"/>
  <mergeCells count="44">
    <mergeCell ref="V36:AB36"/>
    <mergeCell ref="V37:AB37"/>
    <mergeCell ref="V38:AB38"/>
    <mergeCell ref="V30:AB30"/>
    <mergeCell ref="V31:AB31"/>
    <mergeCell ref="V32:AB32"/>
    <mergeCell ref="V33:AB33"/>
    <mergeCell ref="V34:AB34"/>
    <mergeCell ref="V35:AB35"/>
    <mergeCell ref="V29:AB29"/>
    <mergeCell ref="B22:AK22"/>
    <mergeCell ref="B23:D23"/>
    <mergeCell ref="O24:R24"/>
    <mergeCell ref="V24:AE24"/>
    <mergeCell ref="B25:F25"/>
    <mergeCell ref="B27:F27"/>
    <mergeCell ref="B28:F28"/>
    <mergeCell ref="B26:F26"/>
    <mergeCell ref="O25:R25"/>
    <mergeCell ref="V27:AB27"/>
    <mergeCell ref="V28:AB28"/>
    <mergeCell ref="AH3:AH4"/>
    <mergeCell ref="B2:G2"/>
    <mergeCell ref="H2:AK2"/>
    <mergeCell ref="B3:B4"/>
    <mergeCell ref="C3:D3"/>
    <mergeCell ref="E3:E4"/>
    <mergeCell ref="F3:G3"/>
    <mergeCell ref="H3:H4"/>
    <mergeCell ref="I3:I4"/>
    <mergeCell ref="J3:J4"/>
    <mergeCell ref="L3:L4"/>
    <mergeCell ref="K3:K4"/>
    <mergeCell ref="AK3:AK4"/>
    <mergeCell ref="M3:M4"/>
    <mergeCell ref="AI3:AI4"/>
    <mergeCell ref="AJ3:AJ4"/>
    <mergeCell ref="N3:N4"/>
    <mergeCell ref="O3:R3"/>
    <mergeCell ref="S3:S4"/>
    <mergeCell ref="V3:Z3"/>
    <mergeCell ref="AA3:AG3"/>
    <mergeCell ref="T3:T4"/>
    <mergeCell ref="U3:U4"/>
  </mergeCells>
  <conditionalFormatting sqref="AJ23:AK23 V27:V34 V24:W26 P24:U24 AJ31:AK65529 AJ1:AK1 AJ3:AK4 P27:U65529 O24:O65529 V36:V38 V39:Z65529 O1:Z1 X25:AG26 O3:U21 X5:Z21 AC5:AK21">
    <cfRule type="cellIs" dxfId="19" priority="7" stopIfTrue="1" operator="equal">
      <formula>0</formula>
    </cfRule>
  </conditionalFormatting>
  <conditionalFormatting sqref="I1 I23:I1048576 I3:I21">
    <cfRule type="cellIs" dxfId="18" priority="6" stopIfTrue="1" operator="between">
      <formula>344</formula>
      <formula>1000</formula>
    </cfRule>
  </conditionalFormatting>
  <conditionalFormatting sqref="H1:H21 H23:H1048576">
    <cfRule type="cellIs" dxfId="17" priority="5" stopIfTrue="1" operator="between">
      <formula>3.99</formula>
      <formula>20</formula>
    </cfRule>
  </conditionalFormatting>
  <conditionalFormatting sqref="M1:N1 N3 M3:M4 N24:N1048576 M23:M1048576 M5:N21">
    <cfRule type="cellIs" dxfId="16" priority="4" stopIfTrue="1" operator="equal">
      <formula>"PC"</formula>
    </cfRule>
  </conditionalFormatting>
  <conditionalFormatting sqref="V35">
    <cfRule type="cellIs" dxfId="15" priority="3" stopIfTrue="1" operator="equal">
      <formula>0</formula>
    </cfRule>
  </conditionalFormatting>
  <conditionalFormatting sqref="V5:W21">
    <cfRule type="cellIs" dxfId="14" priority="2" stopIfTrue="1" operator="equal">
      <formula>0</formula>
    </cfRule>
  </conditionalFormatting>
  <conditionalFormatting sqref="AA5:AB21">
    <cfRule type="cellIs" dxfId="13" priority="1" stopIfTrue="1" operator="equal">
      <formula>0</formula>
    </cfRule>
  </conditionalFormatting>
  <printOptions horizontalCentered="1"/>
  <pageMargins left="0.19685039370078741" right="0.19685039370078741" top="0.98425196850393704" bottom="0.98425196850393704" header="0.51181102362204722" footer="0.51181102362204722"/>
  <pageSetup paperSize="9" scale="60" orientation="landscape" horizontalDpi="300" verticalDpi="300" r:id="rId1"/>
  <headerFooter alignWithMargins="0">
    <oddHeader>&amp;L&amp;G&amp;R&amp;G</oddHeader>
  </headerFooter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791A49-0512-405C-BF92-760ED94BE25F}">
  <sheetPr codeName="Planilha4"/>
  <dimension ref="A1:BK55"/>
  <sheetViews>
    <sheetView zoomScaleNormal="100" workbookViewId="0">
      <pane ySplit="4" topLeftCell="A26" activePane="bottomLeft" state="frozen"/>
      <selection pane="bottomLeft"/>
    </sheetView>
  </sheetViews>
  <sheetFormatPr defaultRowHeight="12.75" x14ac:dyDescent="0.2"/>
  <cols>
    <col min="1" max="2" width="5.7109375" customWidth="1"/>
    <col min="3" max="3" width="4.7109375" customWidth="1"/>
    <col min="4" max="4" width="5.7109375" customWidth="1"/>
    <col min="5" max="5" width="4.7109375" customWidth="1"/>
    <col min="6" max="6" width="8.7109375" style="226" customWidth="1"/>
    <col min="7" max="8" width="5.7109375" customWidth="1"/>
    <col min="9" max="10" width="5.7109375" style="227" customWidth="1"/>
    <col min="11" max="12" width="6.7109375" customWidth="1"/>
    <col min="13" max="14" width="9.7109375" customWidth="1"/>
    <col min="15" max="15" width="9.7109375" hidden="1" customWidth="1"/>
    <col min="16" max="20" width="9.7109375" customWidth="1"/>
    <col min="21" max="21" width="9.7109375" hidden="1" customWidth="1"/>
    <col min="22" max="22" width="9.7109375" customWidth="1"/>
    <col min="23" max="23" width="5.7109375" customWidth="1"/>
    <col min="24" max="27" width="9.7109375" customWidth="1"/>
    <col min="28" max="28" width="7.7109375" style="194" customWidth="1"/>
    <col min="29" max="29" width="6.7109375" customWidth="1"/>
    <col min="30" max="30" width="7.7109375" hidden="1" customWidth="1"/>
    <col min="31" max="32" width="9.7109375" hidden="1" customWidth="1"/>
    <col min="33" max="33" width="6.5703125" hidden="1" customWidth="1"/>
    <col min="34" max="34" width="9.7109375" hidden="1" customWidth="1"/>
    <col min="35" max="38" width="9.7109375" customWidth="1"/>
    <col min="39" max="40" width="9.7109375" hidden="1" customWidth="1"/>
    <col min="41" max="41" width="9.7109375" customWidth="1"/>
    <col min="42" max="43" width="9.7109375" hidden="1" customWidth="1"/>
    <col min="44" max="44" width="9.7109375" customWidth="1"/>
    <col min="45" max="45" width="9.7109375" hidden="1" customWidth="1"/>
    <col min="46" max="57" width="9.7109375" customWidth="1"/>
  </cols>
  <sheetData>
    <row r="1" spans="1:63" x14ac:dyDescent="0.2">
      <c r="A1" s="191"/>
      <c r="B1" s="191"/>
      <c r="C1" s="191"/>
      <c r="D1" s="191"/>
      <c r="E1" s="191"/>
      <c r="F1" s="192"/>
      <c r="G1" s="191"/>
      <c r="H1" s="191"/>
      <c r="I1" s="193"/>
      <c r="J1" s="193"/>
      <c r="K1" s="191"/>
      <c r="L1" s="191"/>
    </row>
    <row r="2" spans="1:63" s="196" customFormat="1" ht="15" customHeight="1" x14ac:dyDescent="0.25">
      <c r="A2" s="396" t="s">
        <v>14</v>
      </c>
      <c r="B2" s="397"/>
      <c r="C2" s="397"/>
      <c r="D2" s="397"/>
      <c r="E2" s="397"/>
      <c r="F2" s="397"/>
      <c r="G2" s="397"/>
      <c r="H2" s="397"/>
      <c r="I2" s="397"/>
      <c r="J2" s="397"/>
      <c r="K2" s="397"/>
      <c r="L2" s="398"/>
      <c r="M2" s="399"/>
      <c r="N2" s="400"/>
      <c r="O2" s="401" t="s">
        <v>627</v>
      </c>
      <c r="P2" s="402"/>
      <c r="Q2" s="402"/>
      <c r="R2" s="402"/>
      <c r="S2" s="402"/>
      <c r="T2" s="402"/>
      <c r="U2" s="402"/>
      <c r="V2" s="402"/>
      <c r="W2" s="402"/>
      <c r="X2" s="402"/>
      <c r="Y2" s="402"/>
      <c r="Z2" s="402"/>
      <c r="AA2" s="402"/>
      <c r="AB2" s="402"/>
      <c r="AC2" s="402"/>
      <c r="AD2" s="402"/>
      <c r="AE2" s="402"/>
      <c r="AF2" s="402"/>
      <c r="AG2" s="402"/>
      <c r="AH2" s="402"/>
      <c r="AI2" s="402"/>
      <c r="AJ2" s="402"/>
      <c r="AK2" s="402"/>
      <c r="AL2" s="402"/>
      <c r="AM2" s="402"/>
      <c r="AN2" s="402"/>
      <c r="AO2" s="402"/>
      <c r="AP2" s="402"/>
      <c r="AQ2" s="402"/>
      <c r="AR2" s="402"/>
      <c r="AS2" s="402"/>
      <c r="AT2" s="402"/>
      <c r="AU2" s="402"/>
      <c r="AV2" s="402"/>
      <c r="AW2" s="402"/>
      <c r="AX2" s="402"/>
      <c r="AY2" s="402"/>
      <c r="AZ2" s="402"/>
      <c r="BA2" s="402"/>
      <c r="BB2" s="402"/>
      <c r="BC2" s="402"/>
      <c r="BD2" s="402"/>
      <c r="BE2" s="403"/>
      <c r="BF2" s="195"/>
    </row>
    <row r="3" spans="1:63" ht="12.75" customHeight="1" x14ac:dyDescent="0.2">
      <c r="A3" s="404" t="s">
        <v>15</v>
      </c>
      <c r="B3" s="404" t="s">
        <v>572</v>
      </c>
      <c r="C3" s="404"/>
      <c r="D3" s="404"/>
      <c r="E3" s="404"/>
      <c r="F3" s="405" t="s">
        <v>17</v>
      </c>
      <c r="G3" s="404" t="s">
        <v>0</v>
      </c>
      <c r="H3" s="404"/>
      <c r="I3" s="407" t="s">
        <v>573</v>
      </c>
      <c r="J3" s="407" t="s">
        <v>574</v>
      </c>
      <c r="K3" s="404" t="s">
        <v>575</v>
      </c>
      <c r="L3" s="404"/>
      <c r="M3" s="384" t="s">
        <v>1</v>
      </c>
      <c r="N3" s="384" t="s">
        <v>576</v>
      </c>
      <c r="O3" s="384" t="s">
        <v>577</v>
      </c>
      <c r="P3" s="384" t="s">
        <v>578</v>
      </c>
      <c r="Q3" s="388" t="s">
        <v>579</v>
      </c>
      <c r="R3" s="388" t="s">
        <v>580</v>
      </c>
      <c r="S3" s="384" t="s">
        <v>581</v>
      </c>
      <c r="T3" s="384" t="s">
        <v>582</v>
      </c>
      <c r="U3" s="384" t="s">
        <v>583</v>
      </c>
      <c r="V3" s="384" t="s">
        <v>584</v>
      </c>
      <c r="W3" s="393" t="s">
        <v>2</v>
      </c>
      <c r="X3" s="384" t="s">
        <v>585</v>
      </c>
      <c r="Y3" s="384" t="s">
        <v>644</v>
      </c>
      <c r="Z3" s="385" t="s">
        <v>586</v>
      </c>
      <c r="AA3" s="384" t="s">
        <v>649</v>
      </c>
      <c r="AB3" s="387" t="s">
        <v>18</v>
      </c>
      <c r="AC3" s="385" t="s">
        <v>587</v>
      </c>
      <c r="AD3" s="385" t="s">
        <v>588</v>
      </c>
      <c r="AE3" s="390" t="s">
        <v>589</v>
      </c>
      <c r="AF3" s="391"/>
      <c r="AG3" s="391"/>
      <c r="AH3" s="392"/>
      <c r="AI3" s="385" t="s">
        <v>21</v>
      </c>
      <c r="AJ3" s="385" t="s">
        <v>12</v>
      </c>
      <c r="AK3" s="385" t="s">
        <v>13</v>
      </c>
      <c r="AL3" s="390" t="s">
        <v>22</v>
      </c>
      <c r="AM3" s="391"/>
      <c r="AN3" s="391"/>
      <c r="AO3" s="391"/>
      <c r="AP3" s="391"/>
      <c r="AQ3" s="391"/>
      <c r="AR3" s="391"/>
      <c r="AS3" s="392"/>
      <c r="AT3" s="390" t="s">
        <v>23</v>
      </c>
      <c r="AU3" s="391"/>
      <c r="AV3" s="391"/>
      <c r="AW3" s="391"/>
      <c r="AX3" s="391"/>
      <c r="AY3" s="391"/>
      <c r="AZ3" s="392"/>
      <c r="BA3" s="385" t="s">
        <v>24</v>
      </c>
      <c r="BB3" s="384" t="s">
        <v>4</v>
      </c>
      <c r="BC3" s="384" t="s">
        <v>25</v>
      </c>
      <c r="BD3" s="384" t="s">
        <v>590</v>
      </c>
      <c r="BE3" s="384" t="s">
        <v>591</v>
      </c>
    </row>
    <row r="4" spans="1:63" ht="25.5" customHeight="1" x14ac:dyDescent="0.2">
      <c r="A4" s="404"/>
      <c r="B4" s="374" t="s">
        <v>5</v>
      </c>
      <c r="C4" s="375"/>
      <c r="D4" s="374" t="s">
        <v>6</v>
      </c>
      <c r="E4" s="375"/>
      <c r="F4" s="406"/>
      <c r="G4" s="256" t="s">
        <v>5</v>
      </c>
      <c r="H4" s="256" t="s">
        <v>6</v>
      </c>
      <c r="I4" s="408"/>
      <c r="J4" s="408"/>
      <c r="K4" s="256" t="s">
        <v>5</v>
      </c>
      <c r="L4" s="256" t="s">
        <v>6</v>
      </c>
      <c r="M4" s="384"/>
      <c r="N4" s="384"/>
      <c r="O4" s="384"/>
      <c r="P4" s="384"/>
      <c r="Q4" s="388"/>
      <c r="R4" s="388"/>
      <c r="S4" s="384"/>
      <c r="T4" s="384"/>
      <c r="U4" s="384"/>
      <c r="V4" s="384"/>
      <c r="W4" s="393"/>
      <c r="X4" s="384"/>
      <c r="Y4" s="384"/>
      <c r="Z4" s="386"/>
      <c r="AA4" s="384"/>
      <c r="AB4" s="387"/>
      <c r="AC4" s="386"/>
      <c r="AD4" s="386"/>
      <c r="AE4" s="257" t="s">
        <v>7</v>
      </c>
      <c r="AF4" s="257" t="s">
        <v>27</v>
      </c>
      <c r="AG4" s="258" t="s">
        <v>10</v>
      </c>
      <c r="AH4" s="257" t="s">
        <v>8</v>
      </c>
      <c r="AI4" s="386"/>
      <c r="AJ4" s="386"/>
      <c r="AK4" s="386"/>
      <c r="AL4" s="259" t="s">
        <v>592</v>
      </c>
      <c r="AM4" s="259" t="s">
        <v>593</v>
      </c>
      <c r="AN4" s="260" t="s">
        <v>594</v>
      </c>
      <c r="AO4" s="259" t="s">
        <v>595</v>
      </c>
      <c r="AP4" s="259" t="s">
        <v>596</v>
      </c>
      <c r="AQ4" s="259" t="s">
        <v>597</v>
      </c>
      <c r="AR4" s="259" t="s">
        <v>28</v>
      </c>
      <c r="AS4" s="259" t="s">
        <v>598</v>
      </c>
      <c r="AT4" s="259" t="s">
        <v>592</v>
      </c>
      <c r="AU4" s="259" t="s">
        <v>593</v>
      </c>
      <c r="AV4" s="259" t="s">
        <v>645</v>
      </c>
      <c r="AW4" s="259" t="s">
        <v>646</v>
      </c>
      <c r="AX4" s="259" t="s">
        <v>599</v>
      </c>
      <c r="AY4" s="259" t="s">
        <v>192</v>
      </c>
      <c r="AZ4" s="259" t="s">
        <v>11</v>
      </c>
      <c r="BA4" s="386"/>
      <c r="BB4" s="384"/>
      <c r="BC4" s="384"/>
      <c r="BD4" s="384"/>
      <c r="BE4" s="384"/>
      <c r="BF4" s="197"/>
    </row>
    <row r="5" spans="1:63" s="212" customFormat="1" x14ac:dyDescent="0.2">
      <c r="A5" s="198">
        <v>1</v>
      </c>
      <c r="B5" s="199" t="s">
        <v>641</v>
      </c>
      <c r="C5" s="200" t="s">
        <v>601</v>
      </c>
      <c r="D5" s="199" t="s">
        <v>605</v>
      </c>
      <c r="E5" s="201" t="s">
        <v>601</v>
      </c>
      <c r="F5" s="202">
        <v>2.5</v>
      </c>
      <c r="G5" s="217">
        <f t="shared" ref="G5:G26" si="0">K5</f>
        <v>2.35</v>
      </c>
      <c r="H5" s="203">
        <f t="shared" ref="H5:H26" si="1">L5-J5</f>
        <v>1.57</v>
      </c>
      <c r="I5" s="204" t="s">
        <v>603</v>
      </c>
      <c r="J5" s="204">
        <v>0</v>
      </c>
      <c r="K5" s="202">
        <v>2.35</v>
      </c>
      <c r="L5" s="205">
        <v>1.57</v>
      </c>
      <c r="M5" s="206">
        <f t="shared" ref="M5:M26" si="2">IF(A5="","",(G5+H5)/2)</f>
        <v>1.96</v>
      </c>
      <c r="N5" s="206" t="b">
        <f t="shared" ref="N5:N26" si="3">IF(K5="","",IF(B5="PV",IF(I5="N",IF(W5&lt;=400,1,0))))</f>
        <v>0</v>
      </c>
      <c r="O5" s="206">
        <f t="shared" ref="O5:O26" si="4">IF(K5="","",IF(I5="N",IF(W5=800,1,0)))</f>
        <v>0</v>
      </c>
      <c r="P5" s="206">
        <f t="shared" ref="P5:P26" si="5">IF(K5="","",IF(I5="N",IF(W5=600,1,0)))</f>
        <v>0</v>
      </c>
      <c r="Q5" s="206" t="b">
        <f t="shared" ref="Q5:Q26" si="6">IF(A5="","",IF(B5="PV",IF(W5=400,IF(K5&lt;1.75,0,K5-1.75),IF(W5=600,IF(K5&lt;1.95,0,K5-1.95),IF(W5=800,IF(K5&lt;2.25,0,K5-2.25))))))</f>
        <v>0</v>
      </c>
      <c r="R5" s="206" t="b">
        <f>IF(B5="PV",IF(W5=400,K5-1-0.3-Q5,IF(W5=600,K5-1.2-0.3-Q5,IF(W5=800,K5-1.5-0.3-Q5))))</f>
        <v>0</v>
      </c>
      <c r="S5" s="206">
        <f t="shared" ref="S5:S26" si="7">IF(A5="","",IF(B5="BL",1,0))</f>
        <v>0</v>
      </c>
      <c r="T5" s="206">
        <f t="shared" ref="T5:T26" si="8">IF(A5="","",IF(B5="BLD",1,0))</f>
        <v>0</v>
      </c>
      <c r="U5" s="206">
        <f t="shared" ref="U5:U26" si="9">IF(A5="","",IF(B5="BLE",1,0))</f>
        <v>0</v>
      </c>
      <c r="V5" s="206">
        <f t="shared" ref="V5:V26" si="10">IF(A5="","",IF(I5="S",1,0))</f>
        <v>0</v>
      </c>
      <c r="W5" s="207">
        <v>150</v>
      </c>
      <c r="X5" s="208" t="str">
        <f t="shared" ref="X5:X26" si="11">IF(A5="","",IF(W5=400,$F5,""))</f>
        <v/>
      </c>
      <c r="Y5" s="208" t="str">
        <f>IF(A5="","",IF(W5=500,$F5,""))</f>
        <v/>
      </c>
      <c r="Z5" s="208" t="str">
        <f t="shared" ref="Z5:Z26" si="12">IF(A5="","",IF(W5=600,$F5,""))</f>
        <v/>
      </c>
      <c r="AA5" s="208">
        <f>IF(A5="","",IF(W5=150,$F5,""))</f>
        <v>2.5</v>
      </c>
      <c r="AB5" s="209">
        <f t="shared" ref="AB5:AB26" si="13">IF(A5="","",IF(W5&lt;=500,0.8,IF(W5=600,1,IF(W5=800,1.3,IF(W5=1000,1.6,0)))))</f>
        <v>0.8</v>
      </c>
      <c r="AC5" s="207" t="s">
        <v>134</v>
      </c>
      <c r="AD5" s="209"/>
      <c r="AE5" s="206">
        <f t="shared" ref="AE5:AE26" si="14">IF(AC5="A",(F5*(AB5+0.1)),0)</f>
        <v>0</v>
      </c>
      <c r="AF5" s="206">
        <f t="shared" ref="AF5:AF26" si="15">IF(AC5="B",(F5*(AB5+0.3)),0)</f>
        <v>0</v>
      </c>
      <c r="AG5" s="206">
        <f t="shared" ref="AG5:AG26" si="16">IF(AC5="PC",(F5*(AB5+0.15)),0)</f>
        <v>0</v>
      </c>
      <c r="AH5" s="206">
        <f t="shared" ref="AH5:AH26" si="17">IF(AC5="PS",(F5*AB5+0.1),0)</f>
        <v>0</v>
      </c>
      <c r="AI5" s="206">
        <f t="shared" ref="AI5:AI26" si="18">IF(A5="","",(F5*M5*AB5))</f>
        <v>3.9200000000000004</v>
      </c>
      <c r="AJ5" s="206">
        <f t="shared" ref="AJ5:AJ26" si="19">IF(A5="","",AI5*0.03)</f>
        <v>0.11760000000000001</v>
      </c>
      <c r="AK5" s="206">
        <f t="shared" ref="AK5:AK26" si="20">IF(A5="","",AI5*0.97)</f>
        <v>3.8024000000000004</v>
      </c>
      <c r="AL5" s="206">
        <f>IF($M5&lt;=1.5,AJ5,0)</f>
        <v>0</v>
      </c>
      <c r="AM5" s="206">
        <f>IF($M5&lt;=1.5,AJ5*0,0)</f>
        <v>0</v>
      </c>
      <c r="AN5" s="206">
        <f>IF($M5&lt;=1.5,AJ5*0,0)</f>
        <v>0</v>
      </c>
      <c r="AO5" s="206">
        <f>IF(AND($M5&lt;=3,$M5&gt;1.5),AJ5,0)</f>
        <v>0.11760000000000001</v>
      </c>
      <c r="AP5" s="206">
        <f>IF(AND($M5&lt;=3,$M5&gt;1.5),AJ5*0,0)</f>
        <v>0</v>
      </c>
      <c r="AQ5" s="206">
        <f>IF(AND($M5&lt;=3,$M5&gt;1.5),AJ5*0,0)</f>
        <v>0</v>
      </c>
      <c r="AR5" s="206">
        <f>IF(AND($M5&lt;=4.5,$M5&gt;3),AJ5,0)</f>
        <v>0</v>
      </c>
      <c r="AS5" s="206">
        <f>IF(AND($M5&lt;=4.5,$M5&gt;3),AJ5*0,0)</f>
        <v>0</v>
      </c>
      <c r="AT5" s="206">
        <f>IF($M5&lt;=1.5,AK5*0.995,0)</f>
        <v>0</v>
      </c>
      <c r="AU5" s="206">
        <f>IF($M5&lt;=1.5,AK5*0.005,0)</f>
        <v>0</v>
      </c>
      <c r="AV5" s="206">
        <f>IF(AND($M5&gt;1.5,$M5&lt;=3),AK5*0.94,0)</f>
        <v>3.5742560000000001</v>
      </c>
      <c r="AW5" s="206">
        <f>IF(AND($M5&gt;1.5,$M5&lt;=3),AK5*0.01,0)</f>
        <v>3.8024000000000002E-2</v>
      </c>
      <c r="AX5" s="206">
        <f>IF(A5="","",IF($M5&gt;3,AK5*0.85,0))</f>
        <v>0</v>
      </c>
      <c r="AY5" s="206">
        <f>IF(A5="","",IF($M5&gt;3,AK5*0.1,0))</f>
        <v>0</v>
      </c>
      <c r="AZ5" s="206">
        <f>IF(A5="","",IF(M5&lt;=1.5,AK5*0,IF(M5&lt;=4,AK5*0.05,AK5*0.09)))</f>
        <v>0.19012000000000004</v>
      </c>
      <c r="BA5" s="206">
        <f t="shared" ref="BA5:BA26" si="21">IF(A5="","",F5*AB5)</f>
        <v>2</v>
      </c>
      <c r="BB5" s="206">
        <f t="shared" ref="BB5:BB26" si="22">IF(A5="","",AI5-((PI()*((W5/1000)^2))/4)*F5)</f>
        <v>3.8758213533088939</v>
      </c>
      <c r="BC5" s="206">
        <f t="shared" ref="BC5:BC26" si="23">IF(A5="","",IF(M5&gt;=1.5,IF(M5&lt;2.5,F5*M5*2,0),0))</f>
        <v>9.8000000000000007</v>
      </c>
      <c r="BD5" s="206">
        <f t="shared" ref="BD5:BD26" si="24">IF(A5="","",IF(M5&gt;=2.5,IF(M5&lt;3.5,F5*M5*2,0),0))</f>
        <v>0</v>
      </c>
      <c r="BE5" s="210">
        <v>0</v>
      </c>
      <c r="BF5" s="211"/>
    </row>
    <row r="6" spans="1:63" s="212" customFormat="1" x14ac:dyDescent="0.2">
      <c r="A6" s="198">
        <v>1</v>
      </c>
      <c r="B6" s="199" t="s">
        <v>605</v>
      </c>
      <c r="C6" s="200" t="s">
        <v>601</v>
      </c>
      <c r="D6" s="199" t="s">
        <v>628</v>
      </c>
      <c r="E6" s="200" t="s">
        <v>604</v>
      </c>
      <c r="F6" s="213">
        <v>8.6</v>
      </c>
      <c r="G6" s="217">
        <f>K6</f>
        <v>1.57</v>
      </c>
      <c r="H6" s="203">
        <f t="shared" si="1"/>
        <v>1.71</v>
      </c>
      <c r="I6" s="214" t="s">
        <v>603</v>
      </c>
      <c r="J6" s="214">
        <v>0</v>
      </c>
      <c r="K6" s="213">
        <v>1.57</v>
      </c>
      <c r="L6" s="205">
        <v>1.71</v>
      </c>
      <c r="M6" s="206">
        <f t="shared" si="2"/>
        <v>1.6400000000000001</v>
      </c>
      <c r="N6" s="206" t="b">
        <f t="shared" si="3"/>
        <v>0</v>
      </c>
      <c r="O6" s="206">
        <f t="shared" si="4"/>
        <v>0</v>
      </c>
      <c r="P6" s="206">
        <f t="shared" si="5"/>
        <v>0</v>
      </c>
      <c r="Q6" s="206" t="b">
        <f t="shared" si="6"/>
        <v>0</v>
      </c>
      <c r="R6" s="206" t="b">
        <f>IF(B6="PV",IF(W6=400,K6-1-0.3-Q6,IF(W6=600,K6-1.2-0.3-Q6,IF(W6=800,K6-1.5-0.3-Q6))))</f>
        <v>0</v>
      </c>
      <c r="S6" s="206">
        <f t="shared" si="7"/>
        <v>1</v>
      </c>
      <c r="T6" s="206">
        <f t="shared" si="8"/>
        <v>0</v>
      </c>
      <c r="U6" s="206">
        <f t="shared" si="9"/>
        <v>0</v>
      </c>
      <c r="V6" s="206">
        <f t="shared" si="10"/>
        <v>0</v>
      </c>
      <c r="W6" s="207">
        <v>400</v>
      </c>
      <c r="X6" s="208">
        <f t="shared" si="11"/>
        <v>8.6</v>
      </c>
      <c r="Y6" s="208" t="str">
        <f t="shared" ref="Y6:Y26" si="25">IF(A6="","",IF(W6=500,$F6,""))</f>
        <v/>
      </c>
      <c r="Z6" s="208" t="str">
        <f t="shared" si="12"/>
        <v/>
      </c>
      <c r="AA6" s="208" t="str">
        <f t="shared" ref="AA6:AA26" si="26">IF(A6="","",IF(W6=150,$F6,""))</f>
        <v/>
      </c>
      <c r="AB6" s="209">
        <f t="shared" si="13"/>
        <v>0.8</v>
      </c>
      <c r="AC6" s="207" t="s">
        <v>134</v>
      </c>
      <c r="AD6" s="209"/>
      <c r="AE6" s="206">
        <f t="shared" si="14"/>
        <v>0</v>
      </c>
      <c r="AF6" s="206">
        <f t="shared" si="15"/>
        <v>0</v>
      </c>
      <c r="AG6" s="206">
        <f t="shared" si="16"/>
        <v>0</v>
      </c>
      <c r="AH6" s="206">
        <f t="shared" si="17"/>
        <v>0</v>
      </c>
      <c r="AI6" s="206">
        <f t="shared" si="18"/>
        <v>11.283200000000001</v>
      </c>
      <c r="AJ6" s="206">
        <f t="shared" si="19"/>
        <v>0.33849600000000002</v>
      </c>
      <c r="AK6" s="206">
        <f t="shared" si="20"/>
        <v>10.944704</v>
      </c>
      <c r="AL6" s="206">
        <f t="shared" ref="AL6:AL26" si="27">IF($M6&lt;=1.5,AJ6,0)</f>
        <v>0</v>
      </c>
      <c r="AM6" s="206">
        <f t="shared" ref="AM6:AM26" si="28">IF($M6&lt;=1.5,AJ6*0,0)</f>
        <v>0</v>
      </c>
      <c r="AN6" s="206">
        <f t="shared" ref="AN6:AN26" si="29">IF($M6&lt;=1.5,AJ6*0,0)</f>
        <v>0</v>
      </c>
      <c r="AO6" s="206">
        <f t="shared" ref="AO6:AO26" si="30">IF(AND($M6&lt;=3,$M6&gt;1.5),AJ6,0)</f>
        <v>0.33849600000000002</v>
      </c>
      <c r="AP6" s="206">
        <f t="shared" ref="AP6:AP26" si="31">IF(AND($M6&lt;=3,$M6&gt;1.5),AJ6*0,0)</f>
        <v>0</v>
      </c>
      <c r="AQ6" s="206">
        <f t="shared" ref="AQ6:AQ26" si="32">IF(AND($M6&lt;=3,$M6&gt;1.5),AJ6*0,0)</f>
        <v>0</v>
      </c>
      <c r="AR6" s="206">
        <f t="shared" ref="AR6:AR26" si="33">IF(AND($M6&lt;=4.5,$M6&gt;3),AJ6,0)</f>
        <v>0</v>
      </c>
      <c r="AS6" s="206">
        <f t="shared" ref="AS6:AS26" si="34">IF(AND($M6&lt;=4.5,$M6&gt;3),AJ6*0,0)</f>
        <v>0</v>
      </c>
      <c r="AT6" s="206">
        <f t="shared" ref="AT6:AT26" si="35">IF($M6&lt;=1.5,AK6*0.995,0)</f>
        <v>0</v>
      </c>
      <c r="AU6" s="206">
        <f t="shared" ref="AU6:AU26" si="36">IF($M6&lt;=1.5,AK6*0.005,0)</f>
        <v>0</v>
      </c>
      <c r="AV6" s="206">
        <f t="shared" ref="AV6:AV26" si="37">IF(AND($M6&gt;1.5,$M6&lt;=3),AK6*0.94,0)</f>
        <v>10.288021759999999</v>
      </c>
      <c r="AW6" s="206">
        <f t="shared" ref="AW6:AW26" si="38">IF(AND($M6&gt;1.5,$M6&lt;=3),AK6*0.01,0)</f>
        <v>0.10944704</v>
      </c>
      <c r="AX6" s="206">
        <f t="shared" ref="AX6:AX26" si="39">IF(A6="","",IF($M6&gt;3,AK6*0.85,0))</f>
        <v>0</v>
      </c>
      <c r="AY6" s="206">
        <f t="shared" ref="AY6:AY26" si="40">IF(A6="","",IF($M6&gt;3,AK6*0.1,0))</f>
        <v>0</v>
      </c>
      <c r="AZ6" s="206">
        <f t="shared" ref="AZ6:AZ26" si="41">IF(A6="","",IF(M6&lt;=1.5,AK6*0,IF(M6&lt;=4,AK6*0.05,AK6*0.09)))</f>
        <v>0.54723520000000003</v>
      </c>
      <c r="BA6" s="206">
        <f t="shared" si="21"/>
        <v>6.88</v>
      </c>
      <c r="BB6" s="206">
        <f t="shared" si="22"/>
        <v>10.202492127165112</v>
      </c>
      <c r="BC6" s="206">
        <f t="shared" si="23"/>
        <v>28.208000000000002</v>
      </c>
      <c r="BD6" s="206">
        <f t="shared" si="24"/>
        <v>0</v>
      </c>
      <c r="BE6" s="206">
        <f>IF(A6="","",IF(W6=400,F6*0.14,IF(W6=500,F6*0.14,IF(W6=600,F6*0.22,IF(W6=800,F6*0.43,IF(W6=1000,F6*0.66))))))</f>
        <v>1.204</v>
      </c>
    </row>
    <row r="7" spans="1:63" s="212" customFormat="1" x14ac:dyDescent="0.2">
      <c r="A7" s="198">
        <v>1</v>
      </c>
      <c r="B7" s="199" t="s">
        <v>605</v>
      </c>
      <c r="C7" s="200" t="s">
        <v>604</v>
      </c>
      <c r="D7" s="199" t="s">
        <v>561</v>
      </c>
      <c r="E7" s="200" t="s">
        <v>642</v>
      </c>
      <c r="F7" s="213">
        <v>5</v>
      </c>
      <c r="G7" s="217">
        <f t="shared" si="0"/>
        <v>1.71</v>
      </c>
      <c r="H7" s="203">
        <f t="shared" si="1"/>
        <v>3.04</v>
      </c>
      <c r="I7" s="214" t="s">
        <v>603</v>
      </c>
      <c r="J7" s="214">
        <v>0</v>
      </c>
      <c r="K7" s="213">
        <v>1.71</v>
      </c>
      <c r="L7" s="205">
        <v>3.04</v>
      </c>
      <c r="M7" s="206">
        <f t="shared" si="2"/>
        <v>2.375</v>
      </c>
      <c r="N7" s="206" t="b">
        <f t="shared" si="3"/>
        <v>0</v>
      </c>
      <c r="O7" s="206">
        <f t="shared" si="4"/>
        <v>0</v>
      </c>
      <c r="P7" s="206">
        <f t="shared" si="5"/>
        <v>0</v>
      </c>
      <c r="Q7" s="206" t="b">
        <f t="shared" si="6"/>
        <v>0</v>
      </c>
      <c r="R7" s="206" t="b">
        <f>IF(B7="PV",IF(W7=400,K7-1-0.3-Q7,IF(W7=600,K7-1.2-0.3-Q7,IF(W7=800,K7-1.5-0.3-Q7))))</f>
        <v>0</v>
      </c>
      <c r="S7" s="206">
        <f t="shared" si="7"/>
        <v>1</v>
      </c>
      <c r="T7" s="206">
        <f t="shared" si="8"/>
        <v>0</v>
      </c>
      <c r="U7" s="206">
        <f t="shared" si="9"/>
        <v>0</v>
      </c>
      <c r="V7" s="206">
        <f t="shared" si="10"/>
        <v>0</v>
      </c>
      <c r="W7" s="207">
        <v>400</v>
      </c>
      <c r="X7" s="208">
        <f t="shared" si="11"/>
        <v>5</v>
      </c>
      <c r="Y7" s="208" t="str">
        <f t="shared" si="25"/>
        <v/>
      </c>
      <c r="Z7" s="208" t="str">
        <f t="shared" si="12"/>
        <v/>
      </c>
      <c r="AA7" s="208" t="str">
        <f t="shared" si="26"/>
        <v/>
      </c>
      <c r="AB7" s="209">
        <f t="shared" si="13"/>
        <v>0.8</v>
      </c>
      <c r="AC7" s="207" t="s">
        <v>134</v>
      </c>
      <c r="AD7" s="209"/>
      <c r="AE7" s="206">
        <f t="shared" si="14"/>
        <v>0</v>
      </c>
      <c r="AF7" s="206">
        <f t="shared" si="15"/>
        <v>0</v>
      </c>
      <c r="AG7" s="206">
        <f t="shared" si="16"/>
        <v>0</v>
      </c>
      <c r="AH7" s="206">
        <f t="shared" si="17"/>
        <v>0</v>
      </c>
      <c r="AI7" s="206">
        <f t="shared" si="18"/>
        <v>9.5</v>
      </c>
      <c r="AJ7" s="206">
        <f t="shared" si="19"/>
        <v>0.28499999999999998</v>
      </c>
      <c r="AK7" s="206">
        <f t="shared" si="20"/>
        <v>9.2149999999999999</v>
      </c>
      <c r="AL7" s="206">
        <f t="shared" si="27"/>
        <v>0</v>
      </c>
      <c r="AM7" s="206">
        <f t="shared" si="28"/>
        <v>0</v>
      </c>
      <c r="AN7" s="206">
        <f t="shared" si="29"/>
        <v>0</v>
      </c>
      <c r="AO7" s="206">
        <f t="shared" si="30"/>
        <v>0.28499999999999998</v>
      </c>
      <c r="AP7" s="206">
        <f t="shared" si="31"/>
        <v>0</v>
      </c>
      <c r="AQ7" s="206">
        <f t="shared" si="32"/>
        <v>0</v>
      </c>
      <c r="AR7" s="206">
        <f t="shared" si="33"/>
        <v>0</v>
      </c>
      <c r="AS7" s="206">
        <f t="shared" si="34"/>
        <v>0</v>
      </c>
      <c r="AT7" s="206">
        <f t="shared" si="35"/>
        <v>0</v>
      </c>
      <c r="AU7" s="206">
        <f t="shared" si="36"/>
        <v>0</v>
      </c>
      <c r="AV7" s="206">
        <f t="shared" si="37"/>
        <v>8.6620999999999988</v>
      </c>
      <c r="AW7" s="206">
        <f t="shared" si="38"/>
        <v>9.2149999999999996E-2</v>
      </c>
      <c r="AX7" s="206">
        <f t="shared" si="39"/>
        <v>0</v>
      </c>
      <c r="AY7" s="206">
        <f t="shared" si="40"/>
        <v>0</v>
      </c>
      <c r="AZ7" s="206">
        <f t="shared" si="41"/>
        <v>0.46074999999999999</v>
      </c>
      <c r="BA7" s="206">
        <f t="shared" si="21"/>
        <v>4</v>
      </c>
      <c r="BB7" s="206">
        <f t="shared" si="22"/>
        <v>8.8716814692820414</v>
      </c>
      <c r="BC7" s="206">
        <f t="shared" si="23"/>
        <v>23.75</v>
      </c>
      <c r="BD7" s="206">
        <f t="shared" si="24"/>
        <v>0</v>
      </c>
      <c r="BE7" s="206">
        <f>IF(A7="","",IF(W7=400,F7*0.14,IF(W7=500,F7*0.14,IF(W7=600,F7*0.22,IF(W7=800,F7*0.43,IF(W7=1000,F7*0.66))))))</f>
        <v>0.70000000000000007</v>
      </c>
      <c r="BF7" s="211"/>
    </row>
    <row r="8" spans="1:63" s="212" customFormat="1" x14ac:dyDescent="0.2">
      <c r="A8" s="198">
        <v>1</v>
      </c>
      <c r="B8" s="199" t="s">
        <v>614</v>
      </c>
      <c r="C8" s="200" t="s">
        <v>601</v>
      </c>
      <c r="D8" s="199" t="s">
        <v>561</v>
      </c>
      <c r="E8" s="200" t="s">
        <v>606</v>
      </c>
      <c r="F8" s="213">
        <v>12.5</v>
      </c>
      <c r="G8" s="217">
        <f t="shared" si="0"/>
        <v>2.42</v>
      </c>
      <c r="H8" s="203">
        <f t="shared" si="1"/>
        <v>3.04</v>
      </c>
      <c r="I8" s="214" t="s">
        <v>603</v>
      </c>
      <c r="J8" s="214">
        <v>0</v>
      </c>
      <c r="K8" s="213">
        <v>2.42</v>
      </c>
      <c r="L8" s="205">
        <v>3.04</v>
      </c>
      <c r="M8" s="206">
        <f t="shared" si="2"/>
        <v>2.73</v>
      </c>
      <c r="N8" s="206" t="b">
        <f t="shared" si="3"/>
        <v>0</v>
      </c>
      <c r="O8" s="206">
        <f t="shared" si="4"/>
        <v>0</v>
      </c>
      <c r="P8" s="206">
        <f t="shared" si="5"/>
        <v>0</v>
      </c>
      <c r="Q8" s="206" t="b">
        <f t="shared" si="6"/>
        <v>0</v>
      </c>
      <c r="R8" s="206">
        <v>0</v>
      </c>
      <c r="S8" s="206">
        <f t="shared" si="7"/>
        <v>0</v>
      </c>
      <c r="T8" s="206">
        <f t="shared" si="8"/>
        <v>0</v>
      </c>
      <c r="U8" s="206">
        <f t="shared" si="9"/>
        <v>0</v>
      </c>
      <c r="V8" s="206">
        <f t="shared" si="10"/>
        <v>0</v>
      </c>
      <c r="W8" s="207">
        <v>500</v>
      </c>
      <c r="X8" s="208" t="str">
        <f t="shared" si="11"/>
        <v/>
      </c>
      <c r="Y8" s="208">
        <f t="shared" si="25"/>
        <v>12.5</v>
      </c>
      <c r="Z8" s="208" t="str">
        <f t="shared" si="12"/>
        <v/>
      </c>
      <c r="AA8" s="208" t="str">
        <f t="shared" si="26"/>
        <v/>
      </c>
      <c r="AB8" s="209">
        <f t="shared" si="13"/>
        <v>0.8</v>
      </c>
      <c r="AC8" s="207" t="s">
        <v>134</v>
      </c>
      <c r="AD8" s="209"/>
      <c r="AE8" s="206">
        <f t="shared" si="14"/>
        <v>0</v>
      </c>
      <c r="AF8" s="206">
        <f t="shared" si="15"/>
        <v>0</v>
      </c>
      <c r="AG8" s="206">
        <f t="shared" si="16"/>
        <v>0</v>
      </c>
      <c r="AH8" s="206">
        <f t="shared" si="17"/>
        <v>0</v>
      </c>
      <c r="AI8" s="206">
        <f t="shared" si="18"/>
        <v>27.3</v>
      </c>
      <c r="AJ8" s="206">
        <f t="shared" si="19"/>
        <v>0.81899999999999995</v>
      </c>
      <c r="AK8" s="206">
        <f t="shared" si="20"/>
        <v>26.481000000000002</v>
      </c>
      <c r="AL8" s="206">
        <f t="shared" si="27"/>
        <v>0</v>
      </c>
      <c r="AM8" s="206">
        <f t="shared" si="28"/>
        <v>0</v>
      </c>
      <c r="AN8" s="206">
        <f t="shared" si="29"/>
        <v>0</v>
      </c>
      <c r="AO8" s="206">
        <f t="shared" si="30"/>
        <v>0.81899999999999995</v>
      </c>
      <c r="AP8" s="206">
        <f t="shared" si="31"/>
        <v>0</v>
      </c>
      <c r="AQ8" s="206">
        <f t="shared" si="32"/>
        <v>0</v>
      </c>
      <c r="AR8" s="206">
        <f t="shared" si="33"/>
        <v>0</v>
      </c>
      <c r="AS8" s="206">
        <f t="shared" si="34"/>
        <v>0</v>
      </c>
      <c r="AT8" s="206">
        <f t="shared" si="35"/>
        <v>0</v>
      </c>
      <c r="AU8" s="206">
        <f t="shared" si="36"/>
        <v>0</v>
      </c>
      <c r="AV8" s="206">
        <f t="shared" si="37"/>
        <v>24.892140000000001</v>
      </c>
      <c r="AW8" s="206">
        <f t="shared" si="38"/>
        <v>0.26481000000000005</v>
      </c>
      <c r="AX8" s="206">
        <f t="shared" si="39"/>
        <v>0</v>
      </c>
      <c r="AY8" s="206">
        <f t="shared" si="40"/>
        <v>0</v>
      </c>
      <c r="AZ8" s="206">
        <f t="shared" si="41"/>
        <v>1.3240500000000002</v>
      </c>
      <c r="BA8" s="206">
        <f t="shared" si="21"/>
        <v>10</v>
      </c>
      <c r="BB8" s="206">
        <f t="shared" si="22"/>
        <v>24.845630739382976</v>
      </c>
      <c r="BC8" s="206">
        <f t="shared" si="23"/>
        <v>0</v>
      </c>
      <c r="BD8" s="206">
        <f t="shared" si="24"/>
        <v>68.25</v>
      </c>
      <c r="BE8" s="206">
        <f>IF(A8="","",IF(W8=400,F8*0.14,IF(W8=500,F8*0.14,IF(W8=600,F8*0.22,IF(W8=800,F8*0.43,IF(W8=1000,F8*0.66))))))</f>
        <v>1.7500000000000002</v>
      </c>
      <c r="BF8" s="211"/>
      <c r="BK8" s="216"/>
    </row>
    <row r="9" spans="1:63" s="212" customFormat="1" x14ac:dyDescent="0.2">
      <c r="A9" s="198">
        <v>1</v>
      </c>
      <c r="B9" s="199" t="s">
        <v>561</v>
      </c>
      <c r="C9" s="200" t="s">
        <v>604</v>
      </c>
      <c r="D9" s="199" t="s">
        <v>561</v>
      </c>
      <c r="E9" s="200" t="s">
        <v>606</v>
      </c>
      <c r="F9" s="213">
        <v>5.2</v>
      </c>
      <c r="G9" s="217">
        <f t="shared" si="0"/>
        <v>2.2000000000000002</v>
      </c>
      <c r="H9" s="203">
        <f t="shared" si="1"/>
        <v>2.36</v>
      </c>
      <c r="I9" s="214" t="s">
        <v>603</v>
      </c>
      <c r="J9" s="214">
        <v>0.68</v>
      </c>
      <c r="K9" s="213">
        <v>2.2000000000000002</v>
      </c>
      <c r="L9" s="205">
        <v>3.04</v>
      </c>
      <c r="M9" s="206">
        <f t="shared" si="2"/>
        <v>2.2800000000000002</v>
      </c>
      <c r="N9" s="206">
        <f t="shared" si="3"/>
        <v>1</v>
      </c>
      <c r="O9" s="206">
        <f t="shared" si="4"/>
        <v>0</v>
      </c>
      <c r="P9" s="206">
        <f t="shared" si="5"/>
        <v>0</v>
      </c>
      <c r="Q9" s="206">
        <f t="shared" si="6"/>
        <v>0.45000000000000018</v>
      </c>
      <c r="R9" s="206">
        <f>IF(B9="PV",IF(W9=400,K9-1-0.3-Q9,IF(W9=600,K9-1.2-0.3-Q9,IF(W9=800,K9-1.5-0.3-Q9))))</f>
        <v>0.44999999999999996</v>
      </c>
      <c r="S9" s="206">
        <f t="shared" si="7"/>
        <v>0</v>
      </c>
      <c r="T9" s="206">
        <f t="shared" si="8"/>
        <v>0</v>
      </c>
      <c r="U9" s="206">
        <f t="shared" si="9"/>
        <v>0</v>
      </c>
      <c r="V9" s="206">
        <f t="shared" si="10"/>
        <v>0</v>
      </c>
      <c r="W9" s="207">
        <v>400</v>
      </c>
      <c r="X9" s="208">
        <f t="shared" si="11"/>
        <v>5.2</v>
      </c>
      <c r="Y9" s="208" t="str">
        <f t="shared" si="25"/>
        <v/>
      </c>
      <c r="Z9" s="208" t="str">
        <f t="shared" si="12"/>
        <v/>
      </c>
      <c r="AA9" s="208" t="str">
        <f t="shared" si="26"/>
        <v/>
      </c>
      <c r="AB9" s="209">
        <f t="shared" si="13"/>
        <v>0.8</v>
      </c>
      <c r="AC9" s="207" t="s">
        <v>134</v>
      </c>
      <c r="AD9" s="209"/>
      <c r="AE9" s="206">
        <f t="shared" si="14"/>
        <v>0</v>
      </c>
      <c r="AF9" s="206">
        <f t="shared" si="15"/>
        <v>0</v>
      </c>
      <c r="AG9" s="206">
        <f t="shared" si="16"/>
        <v>0</v>
      </c>
      <c r="AH9" s="206">
        <f t="shared" si="17"/>
        <v>0</v>
      </c>
      <c r="AI9" s="206">
        <f t="shared" si="18"/>
        <v>9.4848000000000017</v>
      </c>
      <c r="AJ9" s="206">
        <f t="shared" si="19"/>
        <v>0.28454400000000002</v>
      </c>
      <c r="AK9" s="206">
        <f t="shared" si="20"/>
        <v>9.2002560000000013</v>
      </c>
      <c r="AL9" s="206">
        <f t="shared" si="27"/>
        <v>0</v>
      </c>
      <c r="AM9" s="206">
        <f t="shared" si="28"/>
        <v>0</v>
      </c>
      <c r="AN9" s="206">
        <f t="shared" si="29"/>
        <v>0</v>
      </c>
      <c r="AO9" s="206">
        <f t="shared" si="30"/>
        <v>0.28454400000000002</v>
      </c>
      <c r="AP9" s="206">
        <f t="shared" si="31"/>
        <v>0</v>
      </c>
      <c r="AQ9" s="206">
        <f t="shared" si="32"/>
        <v>0</v>
      </c>
      <c r="AR9" s="206">
        <f t="shared" si="33"/>
        <v>0</v>
      </c>
      <c r="AS9" s="206">
        <f t="shared" si="34"/>
        <v>0</v>
      </c>
      <c r="AT9" s="206">
        <f t="shared" si="35"/>
        <v>0</v>
      </c>
      <c r="AU9" s="206">
        <f t="shared" si="36"/>
        <v>0</v>
      </c>
      <c r="AV9" s="206">
        <f t="shared" si="37"/>
        <v>8.6482406400000009</v>
      </c>
      <c r="AW9" s="206">
        <f t="shared" si="38"/>
        <v>9.2002560000000011E-2</v>
      </c>
      <c r="AX9" s="206">
        <f t="shared" si="39"/>
        <v>0</v>
      </c>
      <c r="AY9" s="206">
        <f t="shared" si="40"/>
        <v>0</v>
      </c>
      <c r="AZ9" s="206">
        <f t="shared" si="41"/>
        <v>0.46001280000000011</v>
      </c>
      <c r="BA9" s="206">
        <f t="shared" si="21"/>
        <v>4.16</v>
      </c>
      <c r="BB9" s="206">
        <f t="shared" si="22"/>
        <v>8.8313487280533245</v>
      </c>
      <c r="BC9" s="206">
        <f t="shared" si="23"/>
        <v>23.712000000000003</v>
      </c>
      <c r="BD9" s="206">
        <f t="shared" si="24"/>
        <v>0</v>
      </c>
      <c r="BE9" s="206">
        <f>IF(A9="","",IF(W9=400,F9*0.14,IF(W9=500,F9*0.14,IF(W9=600,F9*0.22,IF(W9=800,F9*0.43,IF(W9=1000,F9*0.66))))))</f>
        <v>0.72800000000000009</v>
      </c>
    </row>
    <row r="10" spans="1:63" s="212" customFormat="1" x14ac:dyDescent="0.2">
      <c r="A10" s="198">
        <v>1</v>
      </c>
      <c r="B10" s="199" t="s">
        <v>561</v>
      </c>
      <c r="C10" s="200" t="s">
        <v>606</v>
      </c>
      <c r="D10" s="199" t="s">
        <v>561</v>
      </c>
      <c r="E10" s="200" t="s">
        <v>610</v>
      </c>
      <c r="F10" s="213">
        <v>24.5</v>
      </c>
      <c r="G10" s="215">
        <f t="shared" si="0"/>
        <v>3.04</v>
      </c>
      <c r="H10" s="203">
        <f t="shared" si="1"/>
        <v>3.14</v>
      </c>
      <c r="I10" s="214" t="s">
        <v>603</v>
      </c>
      <c r="J10" s="214">
        <v>0</v>
      </c>
      <c r="K10" s="213">
        <v>3.04</v>
      </c>
      <c r="L10" s="205">
        <v>3.14</v>
      </c>
      <c r="M10" s="206">
        <f t="shared" si="2"/>
        <v>3.09</v>
      </c>
      <c r="N10" s="206">
        <f t="shared" si="3"/>
        <v>0</v>
      </c>
      <c r="O10" s="206">
        <f t="shared" si="4"/>
        <v>0</v>
      </c>
      <c r="P10" s="206">
        <f t="shared" si="5"/>
        <v>1</v>
      </c>
      <c r="Q10" s="206">
        <f t="shared" si="6"/>
        <v>1.0900000000000001</v>
      </c>
      <c r="R10" s="206">
        <f>IF(B10="PV",IF(W10=400,K10-1-0.3-Q10,IF(W10=600,K10-1.2-0.3-Q10,IF(W10=800,K10-1.5-0.3-Q10))))</f>
        <v>0.44999999999999996</v>
      </c>
      <c r="S10" s="206">
        <f t="shared" si="7"/>
        <v>0</v>
      </c>
      <c r="T10" s="206">
        <f t="shared" si="8"/>
        <v>0</v>
      </c>
      <c r="U10" s="206">
        <f t="shared" si="9"/>
        <v>0</v>
      </c>
      <c r="V10" s="206">
        <f t="shared" si="10"/>
        <v>0</v>
      </c>
      <c r="W10" s="207">
        <v>600</v>
      </c>
      <c r="X10" s="208" t="str">
        <f t="shared" si="11"/>
        <v/>
      </c>
      <c r="Y10" s="208" t="str">
        <f t="shared" si="25"/>
        <v/>
      </c>
      <c r="Z10" s="208">
        <f t="shared" si="12"/>
        <v>24.5</v>
      </c>
      <c r="AA10" s="208" t="str">
        <f t="shared" si="26"/>
        <v/>
      </c>
      <c r="AB10" s="209">
        <f t="shared" si="13"/>
        <v>1</v>
      </c>
      <c r="AC10" s="207" t="s">
        <v>134</v>
      </c>
      <c r="AD10" s="209"/>
      <c r="AE10" s="206">
        <f t="shared" si="14"/>
        <v>0</v>
      </c>
      <c r="AF10" s="206">
        <f t="shared" si="15"/>
        <v>0</v>
      </c>
      <c r="AG10" s="206">
        <f t="shared" si="16"/>
        <v>0</v>
      </c>
      <c r="AH10" s="206">
        <f t="shared" si="17"/>
        <v>0</v>
      </c>
      <c r="AI10" s="206">
        <f t="shared" si="18"/>
        <v>75.704999999999998</v>
      </c>
      <c r="AJ10" s="206">
        <f t="shared" si="19"/>
        <v>2.27115</v>
      </c>
      <c r="AK10" s="206">
        <f t="shared" si="20"/>
        <v>73.433849999999993</v>
      </c>
      <c r="AL10" s="206">
        <f t="shared" si="27"/>
        <v>0</v>
      </c>
      <c r="AM10" s="206">
        <f t="shared" si="28"/>
        <v>0</v>
      </c>
      <c r="AN10" s="206">
        <f t="shared" si="29"/>
        <v>0</v>
      </c>
      <c r="AO10" s="206">
        <f t="shared" si="30"/>
        <v>0</v>
      </c>
      <c r="AP10" s="206">
        <f t="shared" si="31"/>
        <v>0</v>
      </c>
      <c r="AQ10" s="206">
        <f t="shared" si="32"/>
        <v>0</v>
      </c>
      <c r="AR10" s="206">
        <f t="shared" si="33"/>
        <v>2.27115</v>
      </c>
      <c r="AS10" s="206">
        <f t="shared" si="34"/>
        <v>0</v>
      </c>
      <c r="AT10" s="206">
        <f t="shared" si="35"/>
        <v>0</v>
      </c>
      <c r="AU10" s="206">
        <f t="shared" si="36"/>
        <v>0</v>
      </c>
      <c r="AV10" s="206">
        <f t="shared" si="37"/>
        <v>0</v>
      </c>
      <c r="AW10" s="206">
        <f t="shared" si="38"/>
        <v>0</v>
      </c>
      <c r="AX10" s="206">
        <f t="shared" si="39"/>
        <v>62.418772499999989</v>
      </c>
      <c r="AY10" s="206">
        <f t="shared" si="40"/>
        <v>7.3433849999999996</v>
      </c>
      <c r="AZ10" s="206">
        <f t="shared" si="41"/>
        <v>3.6716924999999998</v>
      </c>
      <c r="BA10" s="206">
        <f t="shared" si="21"/>
        <v>24.5</v>
      </c>
      <c r="BB10" s="206">
        <f t="shared" si="22"/>
        <v>68.7777881988345</v>
      </c>
      <c r="BC10" s="206">
        <f t="shared" si="23"/>
        <v>0</v>
      </c>
      <c r="BD10" s="206">
        <f t="shared" si="24"/>
        <v>151.41</v>
      </c>
      <c r="BE10" s="206">
        <f>IF(A10="","",IF(W10=400,F10*0.14,IF(W10=500,F10*0.14,IF(W10=600,F10*0.22,IF(W10=800,F10*0.43,IF(W10=1000,F10*0.66))))))</f>
        <v>5.39</v>
      </c>
      <c r="BF10" s="211"/>
    </row>
    <row r="11" spans="1:63" s="212" customFormat="1" x14ac:dyDescent="0.2">
      <c r="A11" s="198">
        <v>1</v>
      </c>
      <c r="B11" s="199" t="s">
        <v>614</v>
      </c>
      <c r="C11" s="200" t="s">
        <v>607</v>
      </c>
      <c r="D11" s="199" t="s">
        <v>561</v>
      </c>
      <c r="E11" s="200" t="s">
        <v>609</v>
      </c>
      <c r="F11" s="213">
        <v>7.1</v>
      </c>
      <c r="G11" s="215">
        <f t="shared" si="0"/>
        <v>0.6</v>
      </c>
      <c r="H11" s="203">
        <f t="shared" si="1"/>
        <v>0.64</v>
      </c>
      <c r="I11" s="214" t="s">
        <v>616</v>
      </c>
      <c r="J11" s="214">
        <v>0</v>
      </c>
      <c r="K11" s="213">
        <v>0.6</v>
      </c>
      <c r="L11" s="205">
        <v>0.64</v>
      </c>
      <c r="M11" s="206">
        <f t="shared" si="2"/>
        <v>0.62</v>
      </c>
      <c r="N11" s="206" t="b">
        <f t="shared" si="3"/>
        <v>0</v>
      </c>
      <c r="O11" s="206" t="b">
        <f t="shared" si="4"/>
        <v>0</v>
      </c>
      <c r="P11" s="206" t="b">
        <f t="shared" si="5"/>
        <v>0</v>
      </c>
      <c r="Q11" s="206" t="b">
        <f t="shared" si="6"/>
        <v>0</v>
      </c>
      <c r="R11" s="206" t="b">
        <f>IF(B11="PV",IF(W11=400,K11-1-0.3-Q11,IF(W11=600,K11-1.2-0.3-Q11,IF(W11=800,K11-1.5-0.3-Q11))))</f>
        <v>0</v>
      </c>
      <c r="S11" s="206">
        <f t="shared" si="7"/>
        <v>0</v>
      </c>
      <c r="T11" s="206">
        <f t="shared" si="8"/>
        <v>0</v>
      </c>
      <c r="U11" s="206">
        <f t="shared" si="9"/>
        <v>0</v>
      </c>
      <c r="V11" s="206">
        <f t="shared" si="10"/>
        <v>1</v>
      </c>
      <c r="W11" s="207">
        <v>150</v>
      </c>
      <c r="X11" s="208" t="str">
        <f t="shared" si="11"/>
        <v/>
      </c>
      <c r="Y11" s="208" t="str">
        <f t="shared" si="25"/>
        <v/>
      </c>
      <c r="Z11" s="208" t="str">
        <f t="shared" si="12"/>
        <v/>
      </c>
      <c r="AA11" s="208">
        <f t="shared" si="26"/>
        <v>7.1</v>
      </c>
      <c r="AB11" s="209">
        <f t="shared" si="13"/>
        <v>0.8</v>
      </c>
      <c r="AC11" s="207" t="s">
        <v>134</v>
      </c>
      <c r="AD11" s="209"/>
      <c r="AE11" s="206">
        <f t="shared" si="14"/>
        <v>0</v>
      </c>
      <c r="AF11" s="206">
        <f t="shared" si="15"/>
        <v>0</v>
      </c>
      <c r="AG11" s="206">
        <f t="shared" si="16"/>
        <v>0</v>
      </c>
      <c r="AH11" s="206">
        <f t="shared" si="17"/>
        <v>0</v>
      </c>
      <c r="AI11" s="206">
        <f t="shared" si="18"/>
        <v>3.5216000000000003</v>
      </c>
      <c r="AJ11" s="206">
        <f t="shared" si="19"/>
        <v>0.10564800000000001</v>
      </c>
      <c r="AK11" s="206">
        <f t="shared" si="20"/>
        <v>3.4159520000000003</v>
      </c>
      <c r="AL11" s="206">
        <f t="shared" si="27"/>
        <v>0.10564800000000001</v>
      </c>
      <c r="AM11" s="206">
        <f t="shared" si="28"/>
        <v>0</v>
      </c>
      <c r="AN11" s="206">
        <f t="shared" si="29"/>
        <v>0</v>
      </c>
      <c r="AO11" s="206">
        <f t="shared" si="30"/>
        <v>0</v>
      </c>
      <c r="AP11" s="206">
        <f t="shared" si="31"/>
        <v>0</v>
      </c>
      <c r="AQ11" s="206">
        <f t="shared" si="32"/>
        <v>0</v>
      </c>
      <c r="AR11" s="206">
        <f t="shared" si="33"/>
        <v>0</v>
      </c>
      <c r="AS11" s="206">
        <f t="shared" si="34"/>
        <v>0</v>
      </c>
      <c r="AT11" s="206">
        <f t="shared" si="35"/>
        <v>3.3988722400000002</v>
      </c>
      <c r="AU11" s="206">
        <f t="shared" si="36"/>
        <v>1.7079760000000003E-2</v>
      </c>
      <c r="AV11" s="206">
        <f t="shared" si="37"/>
        <v>0</v>
      </c>
      <c r="AW11" s="206">
        <f t="shared" si="38"/>
        <v>0</v>
      </c>
      <c r="AX11" s="206">
        <f t="shared" si="39"/>
        <v>0</v>
      </c>
      <c r="AY11" s="206">
        <f t="shared" si="40"/>
        <v>0</v>
      </c>
      <c r="AZ11" s="206">
        <f t="shared" si="41"/>
        <v>0</v>
      </c>
      <c r="BA11" s="206">
        <f t="shared" si="21"/>
        <v>5.68</v>
      </c>
      <c r="BB11" s="206">
        <f t="shared" si="22"/>
        <v>3.3961326433972578</v>
      </c>
      <c r="BC11" s="206">
        <f t="shared" si="23"/>
        <v>0</v>
      </c>
      <c r="BD11" s="206">
        <f t="shared" si="24"/>
        <v>0</v>
      </c>
      <c r="BE11" s="206">
        <v>0</v>
      </c>
    </row>
    <row r="12" spans="1:63" s="212" customFormat="1" x14ac:dyDescent="0.2">
      <c r="A12" s="198">
        <v>1</v>
      </c>
      <c r="B12" s="199" t="s">
        <v>614</v>
      </c>
      <c r="C12" s="200" t="s">
        <v>608</v>
      </c>
      <c r="D12" s="199" t="s">
        <v>561</v>
      </c>
      <c r="E12" s="200" t="s">
        <v>609</v>
      </c>
      <c r="F12" s="213">
        <v>7.1</v>
      </c>
      <c r="G12" s="203">
        <f t="shared" si="0"/>
        <v>0.6</v>
      </c>
      <c r="H12" s="203">
        <f t="shared" si="1"/>
        <v>0.64</v>
      </c>
      <c r="I12" s="214" t="s">
        <v>616</v>
      </c>
      <c r="J12" s="214">
        <v>0</v>
      </c>
      <c r="K12" s="213">
        <v>0.6</v>
      </c>
      <c r="L12" s="205">
        <v>0.64</v>
      </c>
      <c r="M12" s="206">
        <f t="shared" si="2"/>
        <v>0.62</v>
      </c>
      <c r="N12" s="206" t="b">
        <f t="shared" si="3"/>
        <v>0</v>
      </c>
      <c r="O12" s="206" t="b">
        <f t="shared" si="4"/>
        <v>0</v>
      </c>
      <c r="P12" s="206" t="b">
        <f t="shared" si="5"/>
        <v>0</v>
      </c>
      <c r="Q12" s="206" t="b">
        <f t="shared" si="6"/>
        <v>0</v>
      </c>
      <c r="R12" s="206">
        <v>0</v>
      </c>
      <c r="S12" s="206">
        <f t="shared" si="7"/>
        <v>0</v>
      </c>
      <c r="T12" s="206">
        <f t="shared" si="8"/>
        <v>0</v>
      </c>
      <c r="U12" s="206">
        <f t="shared" si="9"/>
        <v>0</v>
      </c>
      <c r="V12" s="206">
        <f t="shared" si="10"/>
        <v>1</v>
      </c>
      <c r="W12" s="207">
        <v>150</v>
      </c>
      <c r="X12" s="208" t="str">
        <f t="shared" si="11"/>
        <v/>
      </c>
      <c r="Y12" s="208" t="str">
        <f t="shared" si="25"/>
        <v/>
      </c>
      <c r="Z12" s="208" t="str">
        <f t="shared" si="12"/>
        <v/>
      </c>
      <c r="AA12" s="208">
        <f t="shared" si="26"/>
        <v>7.1</v>
      </c>
      <c r="AB12" s="209">
        <f t="shared" si="13"/>
        <v>0.8</v>
      </c>
      <c r="AC12" s="207" t="s">
        <v>134</v>
      </c>
      <c r="AD12" s="209"/>
      <c r="AE12" s="206">
        <f t="shared" si="14"/>
        <v>0</v>
      </c>
      <c r="AF12" s="206">
        <f t="shared" si="15"/>
        <v>0</v>
      </c>
      <c r="AG12" s="206">
        <f t="shared" si="16"/>
        <v>0</v>
      </c>
      <c r="AH12" s="206">
        <f t="shared" si="17"/>
        <v>0</v>
      </c>
      <c r="AI12" s="206">
        <f t="shared" si="18"/>
        <v>3.5216000000000003</v>
      </c>
      <c r="AJ12" s="206">
        <f t="shared" si="19"/>
        <v>0.10564800000000001</v>
      </c>
      <c r="AK12" s="206">
        <f t="shared" si="20"/>
        <v>3.4159520000000003</v>
      </c>
      <c r="AL12" s="206">
        <f t="shared" si="27"/>
        <v>0.10564800000000001</v>
      </c>
      <c r="AM12" s="206">
        <f t="shared" si="28"/>
        <v>0</v>
      </c>
      <c r="AN12" s="206">
        <f t="shared" si="29"/>
        <v>0</v>
      </c>
      <c r="AO12" s="206">
        <f t="shared" si="30"/>
        <v>0</v>
      </c>
      <c r="AP12" s="206">
        <f t="shared" si="31"/>
        <v>0</v>
      </c>
      <c r="AQ12" s="206">
        <f t="shared" si="32"/>
        <v>0</v>
      </c>
      <c r="AR12" s="206">
        <f t="shared" si="33"/>
        <v>0</v>
      </c>
      <c r="AS12" s="206">
        <f t="shared" si="34"/>
        <v>0</v>
      </c>
      <c r="AT12" s="206">
        <f t="shared" si="35"/>
        <v>3.3988722400000002</v>
      </c>
      <c r="AU12" s="206">
        <f t="shared" si="36"/>
        <v>1.7079760000000003E-2</v>
      </c>
      <c r="AV12" s="206">
        <f t="shared" si="37"/>
        <v>0</v>
      </c>
      <c r="AW12" s="206">
        <f t="shared" si="38"/>
        <v>0</v>
      </c>
      <c r="AX12" s="206">
        <f t="shared" si="39"/>
        <v>0</v>
      </c>
      <c r="AY12" s="206">
        <f t="shared" si="40"/>
        <v>0</v>
      </c>
      <c r="AZ12" s="206">
        <f t="shared" si="41"/>
        <v>0</v>
      </c>
      <c r="BA12" s="206">
        <f t="shared" si="21"/>
        <v>5.68</v>
      </c>
      <c r="BB12" s="206">
        <f t="shared" si="22"/>
        <v>3.3961326433972578</v>
      </c>
      <c r="BC12" s="206">
        <f t="shared" si="23"/>
        <v>0</v>
      </c>
      <c r="BD12" s="206">
        <f t="shared" si="24"/>
        <v>0</v>
      </c>
      <c r="BE12" s="206">
        <v>0</v>
      </c>
    </row>
    <row r="13" spans="1:63" s="212" customFormat="1" x14ac:dyDescent="0.2">
      <c r="A13" s="198">
        <v>1</v>
      </c>
      <c r="B13" s="199" t="s">
        <v>561</v>
      </c>
      <c r="C13" s="200" t="s">
        <v>609</v>
      </c>
      <c r="D13" s="199" t="s">
        <v>561</v>
      </c>
      <c r="E13" s="200" t="s">
        <v>610</v>
      </c>
      <c r="F13" s="213">
        <v>12</v>
      </c>
      <c r="G13" s="218">
        <f t="shared" si="0"/>
        <v>0.64</v>
      </c>
      <c r="H13" s="203">
        <f t="shared" si="1"/>
        <v>1.2300000000000002</v>
      </c>
      <c r="I13" s="214" t="s">
        <v>603</v>
      </c>
      <c r="J13" s="214">
        <v>1.91</v>
      </c>
      <c r="K13" s="213">
        <v>0.64</v>
      </c>
      <c r="L13" s="205">
        <v>3.14</v>
      </c>
      <c r="M13" s="206">
        <f t="shared" si="2"/>
        <v>0.93500000000000005</v>
      </c>
      <c r="N13" s="206">
        <v>0</v>
      </c>
      <c r="O13" s="206">
        <f t="shared" si="4"/>
        <v>0</v>
      </c>
      <c r="P13" s="206">
        <f t="shared" si="5"/>
        <v>0</v>
      </c>
      <c r="Q13" s="206" t="b">
        <f t="shared" si="6"/>
        <v>0</v>
      </c>
      <c r="R13" s="206" t="b">
        <f t="shared" ref="R13:R25" si="42">IF(B13="PV",IF(W13=400,K13-1-0.3-Q13,IF(W13=600,K13-1.2-0.3-Q13,IF(W13=800,K13-1.5-0.3-Q13))))</f>
        <v>0</v>
      </c>
      <c r="S13" s="206">
        <f t="shared" si="7"/>
        <v>0</v>
      </c>
      <c r="T13" s="206">
        <f t="shared" si="8"/>
        <v>0</v>
      </c>
      <c r="U13" s="206">
        <f t="shared" si="9"/>
        <v>0</v>
      </c>
      <c r="V13" s="206">
        <f t="shared" si="10"/>
        <v>0</v>
      </c>
      <c r="W13" s="207">
        <v>150</v>
      </c>
      <c r="X13" s="208" t="str">
        <f t="shared" si="11"/>
        <v/>
      </c>
      <c r="Y13" s="208" t="str">
        <f t="shared" si="25"/>
        <v/>
      </c>
      <c r="Z13" s="208" t="str">
        <f t="shared" si="12"/>
        <v/>
      </c>
      <c r="AA13" s="208">
        <f t="shared" si="26"/>
        <v>12</v>
      </c>
      <c r="AB13" s="209">
        <f t="shared" si="13"/>
        <v>0.8</v>
      </c>
      <c r="AC13" s="207" t="s">
        <v>134</v>
      </c>
      <c r="AD13" s="209"/>
      <c r="AE13" s="206">
        <f t="shared" si="14"/>
        <v>0</v>
      </c>
      <c r="AF13" s="206">
        <f t="shared" si="15"/>
        <v>0</v>
      </c>
      <c r="AG13" s="206">
        <f t="shared" si="16"/>
        <v>0</v>
      </c>
      <c r="AH13" s="206">
        <f t="shared" si="17"/>
        <v>0</v>
      </c>
      <c r="AI13" s="206">
        <f t="shared" si="18"/>
        <v>8.9760000000000009</v>
      </c>
      <c r="AJ13" s="206">
        <f t="shared" si="19"/>
        <v>0.26928000000000002</v>
      </c>
      <c r="AK13" s="206">
        <f t="shared" si="20"/>
        <v>8.7067200000000007</v>
      </c>
      <c r="AL13" s="206">
        <f t="shared" si="27"/>
        <v>0.26928000000000002</v>
      </c>
      <c r="AM13" s="206">
        <f t="shared" si="28"/>
        <v>0</v>
      </c>
      <c r="AN13" s="206">
        <f t="shared" si="29"/>
        <v>0</v>
      </c>
      <c r="AO13" s="206">
        <f t="shared" si="30"/>
        <v>0</v>
      </c>
      <c r="AP13" s="206">
        <f t="shared" si="31"/>
        <v>0</v>
      </c>
      <c r="AQ13" s="206">
        <f t="shared" si="32"/>
        <v>0</v>
      </c>
      <c r="AR13" s="206">
        <f t="shared" si="33"/>
        <v>0</v>
      </c>
      <c r="AS13" s="206">
        <f t="shared" si="34"/>
        <v>0</v>
      </c>
      <c r="AT13" s="206">
        <f t="shared" si="35"/>
        <v>8.6631864000000007</v>
      </c>
      <c r="AU13" s="206">
        <f t="shared" si="36"/>
        <v>4.3533600000000006E-2</v>
      </c>
      <c r="AV13" s="206">
        <f t="shared" si="37"/>
        <v>0</v>
      </c>
      <c r="AW13" s="206">
        <f t="shared" si="38"/>
        <v>0</v>
      </c>
      <c r="AX13" s="206">
        <f t="shared" si="39"/>
        <v>0</v>
      </c>
      <c r="AY13" s="206">
        <f t="shared" si="40"/>
        <v>0</v>
      </c>
      <c r="AZ13" s="206">
        <f t="shared" si="41"/>
        <v>0</v>
      </c>
      <c r="BA13" s="206">
        <f t="shared" si="21"/>
        <v>9.6000000000000014</v>
      </c>
      <c r="BB13" s="206">
        <f t="shared" si="22"/>
        <v>8.7639424958826897</v>
      </c>
      <c r="BC13" s="206">
        <f t="shared" si="23"/>
        <v>0</v>
      </c>
      <c r="BD13" s="206">
        <f t="shared" si="24"/>
        <v>0</v>
      </c>
      <c r="BE13" s="206">
        <v>0</v>
      </c>
      <c r="BF13" s="211"/>
    </row>
    <row r="14" spans="1:63" s="212" customFormat="1" x14ac:dyDescent="0.2">
      <c r="A14" s="198">
        <v>1</v>
      </c>
      <c r="B14" s="199" t="s">
        <v>561</v>
      </c>
      <c r="C14" s="200" t="s">
        <v>610</v>
      </c>
      <c r="D14" s="199" t="s">
        <v>561</v>
      </c>
      <c r="E14" s="200" t="s">
        <v>613</v>
      </c>
      <c r="F14" s="213">
        <v>24.5</v>
      </c>
      <c r="G14" s="215">
        <f t="shared" si="0"/>
        <v>3.14</v>
      </c>
      <c r="H14" s="203">
        <f t="shared" si="1"/>
        <v>3.13</v>
      </c>
      <c r="I14" s="214" t="s">
        <v>603</v>
      </c>
      <c r="J14" s="214">
        <v>0</v>
      </c>
      <c r="K14" s="213">
        <v>3.14</v>
      </c>
      <c r="L14" s="205">
        <v>3.13</v>
      </c>
      <c r="M14" s="206">
        <f t="shared" si="2"/>
        <v>3.1349999999999998</v>
      </c>
      <c r="N14" s="206">
        <f t="shared" si="3"/>
        <v>0</v>
      </c>
      <c r="O14" s="206">
        <f t="shared" si="4"/>
        <v>0</v>
      </c>
      <c r="P14" s="206">
        <f t="shared" si="5"/>
        <v>1</v>
      </c>
      <c r="Q14" s="206">
        <f t="shared" si="6"/>
        <v>1.1900000000000002</v>
      </c>
      <c r="R14" s="206">
        <f t="shared" si="42"/>
        <v>0.44999999999999996</v>
      </c>
      <c r="S14" s="206">
        <f t="shared" si="7"/>
        <v>0</v>
      </c>
      <c r="T14" s="206">
        <f t="shared" si="8"/>
        <v>0</v>
      </c>
      <c r="U14" s="206">
        <f t="shared" si="9"/>
        <v>0</v>
      </c>
      <c r="V14" s="206">
        <f t="shared" si="10"/>
        <v>0</v>
      </c>
      <c r="W14" s="207">
        <v>600</v>
      </c>
      <c r="X14" s="208" t="str">
        <f t="shared" si="11"/>
        <v/>
      </c>
      <c r="Y14" s="208" t="str">
        <f t="shared" si="25"/>
        <v/>
      </c>
      <c r="Z14" s="208">
        <f t="shared" si="12"/>
        <v>24.5</v>
      </c>
      <c r="AA14" s="208" t="str">
        <f t="shared" si="26"/>
        <v/>
      </c>
      <c r="AB14" s="209">
        <f t="shared" si="13"/>
        <v>1</v>
      </c>
      <c r="AC14" s="207" t="s">
        <v>134</v>
      </c>
      <c r="AD14" s="209"/>
      <c r="AE14" s="206">
        <f t="shared" si="14"/>
        <v>0</v>
      </c>
      <c r="AF14" s="206">
        <f t="shared" si="15"/>
        <v>0</v>
      </c>
      <c r="AG14" s="206">
        <f t="shared" si="16"/>
        <v>0</v>
      </c>
      <c r="AH14" s="206">
        <f t="shared" si="17"/>
        <v>0</v>
      </c>
      <c r="AI14" s="206">
        <f t="shared" si="18"/>
        <v>76.80749999999999</v>
      </c>
      <c r="AJ14" s="206">
        <f t="shared" si="19"/>
        <v>2.3042249999999997</v>
      </c>
      <c r="AK14" s="206">
        <f t="shared" si="20"/>
        <v>74.503274999999988</v>
      </c>
      <c r="AL14" s="206">
        <f t="shared" si="27"/>
        <v>0</v>
      </c>
      <c r="AM14" s="206">
        <f t="shared" si="28"/>
        <v>0</v>
      </c>
      <c r="AN14" s="206">
        <f t="shared" si="29"/>
        <v>0</v>
      </c>
      <c r="AO14" s="206">
        <f t="shared" si="30"/>
        <v>0</v>
      </c>
      <c r="AP14" s="206">
        <f t="shared" si="31"/>
        <v>0</v>
      </c>
      <c r="AQ14" s="206">
        <f t="shared" si="32"/>
        <v>0</v>
      </c>
      <c r="AR14" s="206">
        <f t="shared" si="33"/>
        <v>2.3042249999999997</v>
      </c>
      <c r="AS14" s="206">
        <f t="shared" si="34"/>
        <v>0</v>
      </c>
      <c r="AT14" s="206">
        <f t="shared" si="35"/>
        <v>0</v>
      </c>
      <c r="AU14" s="206">
        <f t="shared" si="36"/>
        <v>0</v>
      </c>
      <c r="AV14" s="206">
        <f t="shared" si="37"/>
        <v>0</v>
      </c>
      <c r="AW14" s="206">
        <f t="shared" si="38"/>
        <v>0</v>
      </c>
      <c r="AX14" s="206">
        <f t="shared" si="39"/>
        <v>63.327783749999988</v>
      </c>
      <c r="AY14" s="206">
        <f t="shared" si="40"/>
        <v>7.4503274999999993</v>
      </c>
      <c r="AZ14" s="206">
        <f t="shared" si="41"/>
        <v>3.7251637499999997</v>
      </c>
      <c r="BA14" s="206">
        <f t="shared" si="21"/>
        <v>24.5</v>
      </c>
      <c r="BB14" s="206">
        <f t="shared" si="22"/>
        <v>69.880288198834492</v>
      </c>
      <c r="BC14" s="206">
        <f t="shared" si="23"/>
        <v>0</v>
      </c>
      <c r="BD14" s="206">
        <f t="shared" si="24"/>
        <v>153.61499999999998</v>
      </c>
      <c r="BE14" s="206">
        <f t="shared" ref="BE14:BE20" si="43">IF(A14="","",IF(W14=400,F14*0.14,IF(W14=500,F14*0.14,IF(W14=600,F14*0.22,IF(W14=800,F14*0.43,IF(W14=1000,F14*0.66))))))</f>
        <v>5.39</v>
      </c>
      <c r="BF14" s="211"/>
    </row>
    <row r="15" spans="1:63" s="212" customFormat="1" x14ac:dyDescent="0.2">
      <c r="A15" s="198">
        <v>1</v>
      </c>
      <c r="B15" s="199" t="s">
        <v>561</v>
      </c>
      <c r="C15" s="200" t="s">
        <v>612</v>
      </c>
      <c r="D15" s="199" t="s">
        <v>561</v>
      </c>
      <c r="E15" s="200" t="s">
        <v>613</v>
      </c>
      <c r="F15" s="213">
        <v>5.2</v>
      </c>
      <c r="G15" s="203">
        <f t="shared" si="0"/>
        <v>2.2400000000000002</v>
      </c>
      <c r="H15" s="203">
        <f t="shared" si="1"/>
        <v>2.21</v>
      </c>
      <c r="I15" s="214" t="s">
        <v>603</v>
      </c>
      <c r="J15" s="214">
        <v>0.92</v>
      </c>
      <c r="K15" s="213">
        <v>2.2400000000000002</v>
      </c>
      <c r="L15" s="205">
        <v>3.13</v>
      </c>
      <c r="M15" s="206">
        <f t="shared" si="2"/>
        <v>2.2250000000000001</v>
      </c>
      <c r="N15" s="206">
        <f t="shared" si="3"/>
        <v>1</v>
      </c>
      <c r="O15" s="206">
        <f t="shared" si="4"/>
        <v>0</v>
      </c>
      <c r="P15" s="206">
        <f t="shared" si="5"/>
        <v>0</v>
      </c>
      <c r="Q15" s="206">
        <f t="shared" si="6"/>
        <v>0.49000000000000021</v>
      </c>
      <c r="R15" s="206">
        <f t="shared" si="42"/>
        <v>0.44999999999999996</v>
      </c>
      <c r="S15" s="206">
        <f t="shared" si="7"/>
        <v>0</v>
      </c>
      <c r="T15" s="206">
        <f t="shared" si="8"/>
        <v>0</v>
      </c>
      <c r="U15" s="206">
        <f t="shared" si="9"/>
        <v>0</v>
      </c>
      <c r="V15" s="206">
        <f t="shared" si="10"/>
        <v>0</v>
      </c>
      <c r="W15" s="207">
        <v>400</v>
      </c>
      <c r="X15" s="208">
        <f t="shared" si="11"/>
        <v>5.2</v>
      </c>
      <c r="Y15" s="208" t="str">
        <f t="shared" si="25"/>
        <v/>
      </c>
      <c r="Z15" s="208" t="str">
        <f t="shared" si="12"/>
        <v/>
      </c>
      <c r="AA15" s="208" t="str">
        <f t="shared" si="26"/>
        <v/>
      </c>
      <c r="AB15" s="209">
        <f t="shared" si="13"/>
        <v>0.8</v>
      </c>
      <c r="AC15" s="207" t="s">
        <v>134</v>
      </c>
      <c r="AD15" s="209"/>
      <c r="AE15" s="206">
        <f t="shared" si="14"/>
        <v>0</v>
      </c>
      <c r="AF15" s="206">
        <f t="shared" si="15"/>
        <v>0</v>
      </c>
      <c r="AG15" s="206">
        <f t="shared" si="16"/>
        <v>0</v>
      </c>
      <c r="AH15" s="206">
        <f t="shared" si="17"/>
        <v>0</v>
      </c>
      <c r="AI15" s="206">
        <f t="shared" si="18"/>
        <v>9.2560000000000002</v>
      </c>
      <c r="AJ15" s="206">
        <f t="shared" si="19"/>
        <v>0.27767999999999998</v>
      </c>
      <c r="AK15" s="206">
        <f t="shared" si="20"/>
        <v>8.9783200000000001</v>
      </c>
      <c r="AL15" s="206">
        <f t="shared" si="27"/>
        <v>0</v>
      </c>
      <c r="AM15" s="206">
        <f t="shared" si="28"/>
        <v>0</v>
      </c>
      <c r="AN15" s="206">
        <f t="shared" si="29"/>
        <v>0</v>
      </c>
      <c r="AO15" s="206">
        <f t="shared" si="30"/>
        <v>0.27767999999999998</v>
      </c>
      <c r="AP15" s="206">
        <f t="shared" si="31"/>
        <v>0</v>
      </c>
      <c r="AQ15" s="206">
        <f t="shared" si="32"/>
        <v>0</v>
      </c>
      <c r="AR15" s="206">
        <f t="shared" si="33"/>
        <v>0</v>
      </c>
      <c r="AS15" s="206">
        <f t="shared" si="34"/>
        <v>0</v>
      </c>
      <c r="AT15" s="206">
        <f t="shared" si="35"/>
        <v>0</v>
      </c>
      <c r="AU15" s="206">
        <f t="shared" si="36"/>
        <v>0</v>
      </c>
      <c r="AV15" s="206">
        <f t="shared" si="37"/>
        <v>8.4396208000000001</v>
      </c>
      <c r="AW15" s="206">
        <f t="shared" si="38"/>
        <v>8.9783200000000007E-2</v>
      </c>
      <c r="AX15" s="206">
        <f t="shared" si="39"/>
        <v>0</v>
      </c>
      <c r="AY15" s="206">
        <f t="shared" si="40"/>
        <v>0</v>
      </c>
      <c r="AZ15" s="206">
        <f t="shared" si="41"/>
        <v>0.44891600000000004</v>
      </c>
      <c r="BA15" s="206">
        <f t="shared" si="21"/>
        <v>4.16</v>
      </c>
      <c r="BB15" s="206">
        <f t="shared" si="22"/>
        <v>8.602548728053323</v>
      </c>
      <c r="BC15" s="206">
        <f t="shared" si="23"/>
        <v>23.14</v>
      </c>
      <c r="BD15" s="206">
        <f t="shared" si="24"/>
        <v>0</v>
      </c>
      <c r="BE15" s="206">
        <f t="shared" si="43"/>
        <v>0.72800000000000009</v>
      </c>
      <c r="BF15" s="211"/>
    </row>
    <row r="16" spans="1:63" s="212" customFormat="1" x14ac:dyDescent="0.2">
      <c r="A16" s="198">
        <v>1</v>
      </c>
      <c r="B16" s="199" t="s">
        <v>614</v>
      </c>
      <c r="C16" s="200" t="s">
        <v>611</v>
      </c>
      <c r="D16" s="199" t="s">
        <v>561</v>
      </c>
      <c r="E16" s="200" t="s">
        <v>613</v>
      </c>
      <c r="F16" s="213">
        <v>13.5</v>
      </c>
      <c r="G16" s="203">
        <f t="shared" si="0"/>
        <v>2.42</v>
      </c>
      <c r="H16" s="203">
        <f t="shared" si="1"/>
        <v>2.8899999999999997</v>
      </c>
      <c r="I16" s="214" t="s">
        <v>603</v>
      </c>
      <c r="J16" s="214">
        <v>0.24</v>
      </c>
      <c r="K16" s="213">
        <v>2.42</v>
      </c>
      <c r="L16" s="205">
        <v>3.13</v>
      </c>
      <c r="M16" s="206">
        <f t="shared" si="2"/>
        <v>2.6549999999999998</v>
      </c>
      <c r="N16" s="206" t="b">
        <f t="shared" si="3"/>
        <v>0</v>
      </c>
      <c r="O16" s="206">
        <f t="shared" si="4"/>
        <v>0</v>
      </c>
      <c r="P16" s="206">
        <f t="shared" si="5"/>
        <v>0</v>
      </c>
      <c r="Q16" s="206" t="b">
        <f t="shared" si="6"/>
        <v>0</v>
      </c>
      <c r="R16" s="206" t="b">
        <f t="shared" si="42"/>
        <v>0</v>
      </c>
      <c r="S16" s="206">
        <f t="shared" si="7"/>
        <v>0</v>
      </c>
      <c r="T16" s="206">
        <f t="shared" si="8"/>
        <v>0</v>
      </c>
      <c r="U16" s="206">
        <f t="shared" si="9"/>
        <v>0</v>
      </c>
      <c r="V16" s="206">
        <f t="shared" si="10"/>
        <v>0</v>
      </c>
      <c r="W16" s="207">
        <v>500</v>
      </c>
      <c r="X16" s="208" t="str">
        <f t="shared" si="11"/>
        <v/>
      </c>
      <c r="Y16" s="208">
        <f t="shared" si="25"/>
        <v>13.5</v>
      </c>
      <c r="Z16" s="208" t="str">
        <f t="shared" si="12"/>
        <v/>
      </c>
      <c r="AA16" s="208" t="str">
        <f t="shared" si="26"/>
        <v/>
      </c>
      <c r="AB16" s="209">
        <f t="shared" si="13"/>
        <v>0.8</v>
      </c>
      <c r="AC16" s="207" t="s">
        <v>134</v>
      </c>
      <c r="AD16" s="209"/>
      <c r="AE16" s="206"/>
      <c r="AF16" s="206"/>
      <c r="AG16" s="206"/>
      <c r="AH16" s="206"/>
      <c r="AI16" s="206">
        <f t="shared" si="18"/>
        <v>28.673999999999996</v>
      </c>
      <c r="AJ16" s="206">
        <f t="shared" si="19"/>
        <v>0.86021999999999987</v>
      </c>
      <c r="AK16" s="206">
        <f t="shared" si="20"/>
        <v>27.813779999999994</v>
      </c>
      <c r="AL16" s="206">
        <f t="shared" si="27"/>
        <v>0</v>
      </c>
      <c r="AM16" s="206">
        <f t="shared" si="28"/>
        <v>0</v>
      </c>
      <c r="AN16" s="206">
        <f t="shared" si="29"/>
        <v>0</v>
      </c>
      <c r="AO16" s="206">
        <f t="shared" si="30"/>
        <v>0.86021999999999987</v>
      </c>
      <c r="AP16" s="206">
        <f t="shared" si="31"/>
        <v>0</v>
      </c>
      <c r="AQ16" s="206">
        <f t="shared" si="32"/>
        <v>0</v>
      </c>
      <c r="AR16" s="206">
        <f t="shared" si="33"/>
        <v>0</v>
      </c>
      <c r="AS16" s="206">
        <f t="shared" si="34"/>
        <v>0</v>
      </c>
      <c r="AT16" s="206">
        <f t="shared" si="35"/>
        <v>0</v>
      </c>
      <c r="AU16" s="206">
        <f t="shared" si="36"/>
        <v>0</v>
      </c>
      <c r="AV16" s="206">
        <f t="shared" si="37"/>
        <v>26.144953199999993</v>
      </c>
      <c r="AW16" s="206">
        <f t="shared" si="38"/>
        <v>0.27813779999999994</v>
      </c>
      <c r="AX16" s="206">
        <f t="shared" si="39"/>
        <v>0</v>
      </c>
      <c r="AY16" s="206">
        <f t="shared" si="40"/>
        <v>0</v>
      </c>
      <c r="AZ16" s="206">
        <f t="shared" si="41"/>
        <v>1.3906889999999998</v>
      </c>
      <c r="BA16" s="206">
        <f t="shared" si="21"/>
        <v>10.8</v>
      </c>
      <c r="BB16" s="206">
        <f t="shared" si="22"/>
        <v>26.02328119853361</v>
      </c>
      <c r="BC16" s="206">
        <f t="shared" si="23"/>
        <v>0</v>
      </c>
      <c r="BD16" s="206">
        <f t="shared" si="24"/>
        <v>71.684999999999988</v>
      </c>
      <c r="BE16" s="206">
        <f t="shared" si="43"/>
        <v>1.8900000000000001</v>
      </c>
    </row>
    <row r="17" spans="1:58" s="212" customFormat="1" x14ac:dyDescent="0.2">
      <c r="A17" s="198">
        <v>1</v>
      </c>
      <c r="B17" s="199" t="s">
        <v>605</v>
      </c>
      <c r="C17" s="200" t="s">
        <v>606</v>
      </c>
      <c r="D17" s="199" t="s">
        <v>605</v>
      </c>
      <c r="E17" s="200" t="s">
        <v>607</v>
      </c>
      <c r="F17" s="213">
        <v>4.9400000000000004</v>
      </c>
      <c r="G17" s="203">
        <f t="shared" si="0"/>
        <v>2.44</v>
      </c>
      <c r="H17" s="203">
        <f t="shared" si="1"/>
        <v>2.6799999999999997</v>
      </c>
      <c r="I17" s="214" t="s">
        <v>603</v>
      </c>
      <c r="J17" s="214">
        <v>0.2</v>
      </c>
      <c r="K17" s="213">
        <v>2.44</v>
      </c>
      <c r="L17" s="205">
        <v>2.88</v>
      </c>
      <c r="M17" s="206">
        <f t="shared" si="2"/>
        <v>2.5599999999999996</v>
      </c>
      <c r="N17" s="206" t="b">
        <f t="shared" si="3"/>
        <v>0</v>
      </c>
      <c r="O17" s="206">
        <f t="shared" si="4"/>
        <v>0</v>
      </c>
      <c r="P17" s="206">
        <f t="shared" si="5"/>
        <v>0</v>
      </c>
      <c r="Q17" s="206" t="b">
        <f t="shared" si="6"/>
        <v>0</v>
      </c>
      <c r="R17" s="206" t="b">
        <f t="shared" si="42"/>
        <v>0</v>
      </c>
      <c r="S17" s="206">
        <f t="shared" si="7"/>
        <v>1</v>
      </c>
      <c r="T17" s="206">
        <f t="shared" si="8"/>
        <v>0</v>
      </c>
      <c r="U17" s="206">
        <f t="shared" si="9"/>
        <v>0</v>
      </c>
      <c r="V17" s="206">
        <f t="shared" si="10"/>
        <v>0</v>
      </c>
      <c r="W17" s="207">
        <v>400</v>
      </c>
      <c r="X17" s="208">
        <f t="shared" si="11"/>
        <v>4.9400000000000004</v>
      </c>
      <c r="Y17" s="208" t="str">
        <f t="shared" si="25"/>
        <v/>
      </c>
      <c r="Z17" s="208" t="str">
        <f t="shared" si="12"/>
        <v/>
      </c>
      <c r="AA17" s="208" t="str">
        <f t="shared" si="26"/>
        <v/>
      </c>
      <c r="AB17" s="209">
        <f t="shared" si="13"/>
        <v>0.8</v>
      </c>
      <c r="AC17" s="207" t="s">
        <v>134</v>
      </c>
      <c r="AD17" s="209"/>
      <c r="AE17" s="206">
        <f t="shared" si="14"/>
        <v>0</v>
      </c>
      <c r="AF17" s="206">
        <f t="shared" si="15"/>
        <v>0</v>
      </c>
      <c r="AG17" s="206">
        <f t="shared" si="16"/>
        <v>0</v>
      </c>
      <c r="AH17" s="206">
        <f t="shared" si="17"/>
        <v>0</v>
      </c>
      <c r="AI17" s="206">
        <f t="shared" si="18"/>
        <v>10.11712</v>
      </c>
      <c r="AJ17" s="206">
        <f t="shared" si="19"/>
        <v>0.30351359999999999</v>
      </c>
      <c r="AK17" s="206">
        <f t="shared" si="20"/>
        <v>9.8136063999999994</v>
      </c>
      <c r="AL17" s="206">
        <f t="shared" si="27"/>
        <v>0</v>
      </c>
      <c r="AM17" s="206">
        <f t="shared" si="28"/>
        <v>0</v>
      </c>
      <c r="AN17" s="206">
        <f t="shared" si="29"/>
        <v>0</v>
      </c>
      <c r="AO17" s="206">
        <f t="shared" si="30"/>
        <v>0.30351359999999999</v>
      </c>
      <c r="AP17" s="206">
        <f t="shared" si="31"/>
        <v>0</v>
      </c>
      <c r="AQ17" s="206">
        <f t="shared" si="32"/>
        <v>0</v>
      </c>
      <c r="AR17" s="206">
        <f t="shared" si="33"/>
        <v>0</v>
      </c>
      <c r="AS17" s="206">
        <f t="shared" si="34"/>
        <v>0</v>
      </c>
      <c r="AT17" s="206">
        <f t="shared" si="35"/>
        <v>0</v>
      </c>
      <c r="AU17" s="206">
        <f t="shared" si="36"/>
        <v>0</v>
      </c>
      <c r="AV17" s="206">
        <f t="shared" si="37"/>
        <v>9.2247900159999983</v>
      </c>
      <c r="AW17" s="206">
        <f t="shared" si="38"/>
        <v>9.8136063999999995E-2</v>
      </c>
      <c r="AX17" s="206">
        <f t="shared" si="39"/>
        <v>0</v>
      </c>
      <c r="AY17" s="206">
        <f t="shared" si="40"/>
        <v>0</v>
      </c>
      <c r="AZ17" s="206">
        <f t="shared" si="41"/>
        <v>0.49068032</v>
      </c>
      <c r="BA17" s="206">
        <f t="shared" si="21"/>
        <v>3.9520000000000004</v>
      </c>
      <c r="BB17" s="206">
        <f t="shared" si="22"/>
        <v>9.4963412916506567</v>
      </c>
      <c r="BC17" s="206">
        <f t="shared" si="23"/>
        <v>0</v>
      </c>
      <c r="BD17" s="206">
        <f t="shared" si="24"/>
        <v>25.2928</v>
      </c>
      <c r="BE17" s="206">
        <f t="shared" si="43"/>
        <v>0.6916000000000001</v>
      </c>
    </row>
    <row r="18" spans="1:58" s="212" customFormat="1" x14ac:dyDescent="0.2">
      <c r="A18" s="198">
        <v>1</v>
      </c>
      <c r="B18" s="199" t="s">
        <v>605</v>
      </c>
      <c r="C18" s="200" t="s">
        <v>607</v>
      </c>
      <c r="D18" s="199" t="s">
        <v>561</v>
      </c>
      <c r="E18" s="200" t="s">
        <v>613</v>
      </c>
      <c r="F18" s="213">
        <v>3.8</v>
      </c>
      <c r="G18" s="203">
        <f t="shared" si="0"/>
        <v>2.88</v>
      </c>
      <c r="H18" s="203">
        <f t="shared" si="1"/>
        <v>2.96</v>
      </c>
      <c r="I18" s="214" t="s">
        <v>603</v>
      </c>
      <c r="J18" s="214">
        <v>0.17</v>
      </c>
      <c r="K18" s="213">
        <v>2.88</v>
      </c>
      <c r="L18" s="205">
        <v>3.13</v>
      </c>
      <c r="M18" s="206">
        <f t="shared" si="2"/>
        <v>2.92</v>
      </c>
      <c r="N18" s="206" t="b">
        <f t="shared" si="3"/>
        <v>0</v>
      </c>
      <c r="O18" s="206">
        <f t="shared" si="4"/>
        <v>0</v>
      </c>
      <c r="P18" s="206">
        <f t="shared" si="5"/>
        <v>0</v>
      </c>
      <c r="Q18" s="206" t="b">
        <f t="shared" si="6"/>
        <v>0</v>
      </c>
      <c r="R18" s="206" t="b">
        <f t="shared" si="42"/>
        <v>0</v>
      </c>
      <c r="S18" s="206">
        <f t="shared" si="7"/>
        <v>1</v>
      </c>
      <c r="T18" s="206">
        <f t="shared" si="8"/>
        <v>0</v>
      </c>
      <c r="U18" s="206">
        <f t="shared" si="9"/>
        <v>0</v>
      </c>
      <c r="V18" s="206">
        <f t="shared" si="10"/>
        <v>0</v>
      </c>
      <c r="W18" s="207">
        <v>400</v>
      </c>
      <c r="X18" s="208">
        <f t="shared" si="11"/>
        <v>3.8</v>
      </c>
      <c r="Y18" s="208" t="str">
        <f t="shared" si="25"/>
        <v/>
      </c>
      <c r="Z18" s="208" t="str">
        <f t="shared" si="12"/>
        <v/>
      </c>
      <c r="AA18" s="208" t="str">
        <f t="shared" si="26"/>
        <v/>
      </c>
      <c r="AB18" s="209">
        <f t="shared" si="13"/>
        <v>0.8</v>
      </c>
      <c r="AC18" s="207" t="s">
        <v>134</v>
      </c>
      <c r="AD18" s="209"/>
      <c r="AE18" s="206">
        <f t="shared" si="14"/>
        <v>0</v>
      </c>
      <c r="AF18" s="206">
        <f t="shared" si="15"/>
        <v>0</v>
      </c>
      <c r="AG18" s="206">
        <f t="shared" si="16"/>
        <v>0</v>
      </c>
      <c r="AH18" s="206">
        <f t="shared" si="17"/>
        <v>0</v>
      </c>
      <c r="AI18" s="206">
        <f t="shared" si="18"/>
        <v>8.8768000000000011</v>
      </c>
      <c r="AJ18" s="206">
        <f t="shared" si="19"/>
        <v>0.26630400000000004</v>
      </c>
      <c r="AK18" s="206">
        <f t="shared" si="20"/>
        <v>8.6104960000000013</v>
      </c>
      <c r="AL18" s="206">
        <f t="shared" si="27"/>
        <v>0</v>
      </c>
      <c r="AM18" s="206">
        <f t="shared" si="28"/>
        <v>0</v>
      </c>
      <c r="AN18" s="206">
        <f t="shared" si="29"/>
        <v>0</v>
      </c>
      <c r="AO18" s="206">
        <f t="shared" si="30"/>
        <v>0.26630400000000004</v>
      </c>
      <c r="AP18" s="206">
        <f t="shared" si="31"/>
        <v>0</v>
      </c>
      <c r="AQ18" s="206">
        <f t="shared" si="32"/>
        <v>0</v>
      </c>
      <c r="AR18" s="206">
        <f t="shared" si="33"/>
        <v>0</v>
      </c>
      <c r="AS18" s="206">
        <f t="shared" si="34"/>
        <v>0</v>
      </c>
      <c r="AT18" s="206">
        <f t="shared" si="35"/>
        <v>0</v>
      </c>
      <c r="AU18" s="206">
        <f t="shared" si="36"/>
        <v>0</v>
      </c>
      <c r="AV18" s="206">
        <f t="shared" si="37"/>
        <v>8.0938662400000005</v>
      </c>
      <c r="AW18" s="206">
        <f t="shared" si="38"/>
        <v>8.6104960000000008E-2</v>
      </c>
      <c r="AX18" s="206">
        <f t="shared" si="39"/>
        <v>0</v>
      </c>
      <c r="AY18" s="206">
        <f t="shared" si="40"/>
        <v>0</v>
      </c>
      <c r="AZ18" s="206">
        <f t="shared" si="41"/>
        <v>0.4305248000000001</v>
      </c>
      <c r="BA18" s="206">
        <f t="shared" si="21"/>
        <v>3.04</v>
      </c>
      <c r="BB18" s="206">
        <f t="shared" si="22"/>
        <v>8.3992779166543521</v>
      </c>
      <c r="BC18" s="206">
        <f t="shared" si="23"/>
        <v>0</v>
      </c>
      <c r="BD18" s="206">
        <f t="shared" si="24"/>
        <v>22.192</v>
      </c>
      <c r="BE18" s="206">
        <f t="shared" si="43"/>
        <v>0.53200000000000003</v>
      </c>
    </row>
    <row r="19" spans="1:58" s="212" customFormat="1" x14ac:dyDescent="0.2">
      <c r="A19" s="198">
        <v>1</v>
      </c>
      <c r="B19" s="199" t="s">
        <v>561</v>
      </c>
      <c r="C19" s="200" t="s">
        <v>613</v>
      </c>
      <c r="D19" s="199" t="s">
        <v>561</v>
      </c>
      <c r="E19" s="200" t="s">
        <v>133</v>
      </c>
      <c r="F19" s="213">
        <v>19.100000000000001</v>
      </c>
      <c r="G19" s="203">
        <f t="shared" si="0"/>
        <v>3.13</v>
      </c>
      <c r="H19" s="203">
        <f t="shared" si="1"/>
        <v>3.38</v>
      </c>
      <c r="I19" s="214" t="s">
        <v>603</v>
      </c>
      <c r="J19" s="214">
        <v>0</v>
      </c>
      <c r="K19" s="213">
        <v>3.13</v>
      </c>
      <c r="L19" s="205">
        <v>3.38</v>
      </c>
      <c r="M19" s="206">
        <f t="shared" si="2"/>
        <v>3.2549999999999999</v>
      </c>
      <c r="N19" s="206">
        <f t="shared" si="3"/>
        <v>0</v>
      </c>
      <c r="O19" s="206">
        <f t="shared" si="4"/>
        <v>0</v>
      </c>
      <c r="P19" s="206">
        <f t="shared" si="5"/>
        <v>1</v>
      </c>
      <c r="Q19" s="206">
        <f t="shared" si="6"/>
        <v>1.18</v>
      </c>
      <c r="R19" s="206">
        <f t="shared" si="42"/>
        <v>0.44999999999999996</v>
      </c>
      <c r="S19" s="206">
        <f t="shared" si="7"/>
        <v>0</v>
      </c>
      <c r="T19" s="206">
        <f t="shared" si="8"/>
        <v>0</v>
      </c>
      <c r="U19" s="206">
        <f t="shared" si="9"/>
        <v>0</v>
      </c>
      <c r="V19" s="206">
        <f t="shared" si="10"/>
        <v>0</v>
      </c>
      <c r="W19" s="207">
        <v>600</v>
      </c>
      <c r="X19" s="208" t="str">
        <f t="shared" si="11"/>
        <v/>
      </c>
      <c r="Y19" s="208" t="str">
        <f t="shared" si="25"/>
        <v/>
      </c>
      <c r="Z19" s="208">
        <f t="shared" si="12"/>
        <v>19.100000000000001</v>
      </c>
      <c r="AA19" s="208" t="str">
        <f t="shared" si="26"/>
        <v/>
      </c>
      <c r="AB19" s="209">
        <f t="shared" si="13"/>
        <v>1</v>
      </c>
      <c r="AC19" s="207" t="s">
        <v>134</v>
      </c>
      <c r="AD19" s="209"/>
      <c r="AE19" s="206">
        <f t="shared" si="14"/>
        <v>0</v>
      </c>
      <c r="AF19" s="206">
        <f t="shared" si="15"/>
        <v>0</v>
      </c>
      <c r="AG19" s="206">
        <f t="shared" si="16"/>
        <v>0</v>
      </c>
      <c r="AH19" s="206">
        <f t="shared" si="17"/>
        <v>0</v>
      </c>
      <c r="AI19" s="206">
        <f t="shared" si="18"/>
        <v>62.170500000000004</v>
      </c>
      <c r="AJ19" s="206">
        <f t="shared" si="19"/>
        <v>1.8651150000000001</v>
      </c>
      <c r="AK19" s="206">
        <f t="shared" si="20"/>
        <v>60.305385000000001</v>
      </c>
      <c r="AL19" s="206">
        <f t="shared" si="27"/>
        <v>0</v>
      </c>
      <c r="AM19" s="206">
        <f t="shared" si="28"/>
        <v>0</v>
      </c>
      <c r="AN19" s="206">
        <f t="shared" si="29"/>
        <v>0</v>
      </c>
      <c r="AO19" s="206">
        <f t="shared" si="30"/>
        <v>0</v>
      </c>
      <c r="AP19" s="206">
        <f t="shared" si="31"/>
        <v>0</v>
      </c>
      <c r="AQ19" s="206">
        <f t="shared" si="32"/>
        <v>0</v>
      </c>
      <c r="AR19" s="206">
        <f t="shared" si="33"/>
        <v>1.8651150000000001</v>
      </c>
      <c r="AS19" s="206">
        <f t="shared" si="34"/>
        <v>0</v>
      </c>
      <c r="AT19" s="206">
        <f t="shared" si="35"/>
        <v>0</v>
      </c>
      <c r="AU19" s="206">
        <f t="shared" si="36"/>
        <v>0</v>
      </c>
      <c r="AV19" s="206">
        <f t="shared" si="37"/>
        <v>0</v>
      </c>
      <c r="AW19" s="206">
        <f t="shared" si="38"/>
        <v>0</v>
      </c>
      <c r="AX19" s="206">
        <f t="shared" si="39"/>
        <v>51.25957725</v>
      </c>
      <c r="AY19" s="206">
        <f t="shared" si="40"/>
        <v>6.0305385000000005</v>
      </c>
      <c r="AZ19" s="206">
        <f t="shared" si="41"/>
        <v>3.0152692500000002</v>
      </c>
      <c r="BA19" s="206">
        <f t="shared" si="21"/>
        <v>19.100000000000001</v>
      </c>
      <c r="BB19" s="206">
        <f t="shared" si="22"/>
        <v>56.770102228479146</v>
      </c>
      <c r="BC19" s="206">
        <f t="shared" si="23"/>
        <v>0</v>
      </c>
      <c r="BD19" s="206">
        <f t="shared" si="24"/>
        <v>124.34100000000001</v>
      </c>
      <c r="BE19" s="206">
        <f t="shared" si="43"/>
        <v>4.202</v>
      </c>
    </row>
    <row r="20" spans="1:58" s="212" customFormat="1" x14ac:dyDescent="0.2">
      <c r="A20" s="198">
        <v>1</v>
      </c>
      <c r="B20" s="199" t="s">
        <v>504</v>
      </c>
      <c r="C20" s="200"/>
      <c r="D20" s="199" t="s">
        <v>561</v>
      </c>
      <c r="E20" s="200" t="s">
        <v>133</v>
      </c>
      <c r="F20" s="213">
        <v>15</v>
      </c>
      <c r="G20" s="203">
        <f t="shared" si="0"/>
        <v>3.2</v>
      </c>
      <c r="H20" s="203">
        <f t="shared" si="1"/>
        <v>2.4499999999999997</v>
      </c>
      <c r="I20" s="214" t="s">
        <v>603</v>
      </c>
      <c r="J20" s="214">
        <v>0.93</v>
      </c>
      <c r="K20" s="213">
        <v>3.2</v>
      </c>
      <c r="L20" s="205">
        <v>3.38</v>
      </c>
      <c r="M20" s="206">
        <f t="shared" si="2"/>
        <v>2.8250000000000002</v>
      </c>
      <c r="N20" s="206" t="b">
        <f t="shared" si="3"/>
        <v>0</v>
      </c>
      <c r="O20" s="206">
        <f t="shared" si="4"/>
        <v>0</v>
      </c>
      <c r="P20" s="206">
        <f t="shared" si="5"/>
        <v>0</v>
      </c>
      <c r="Q20" s="206" t="b">
        <f t="shared" si="6"/>
        <v>0</v>
      </c>
      <c r="R20" s="206" t="b">
        <f t="shared" si="42"/>
        <v>0</v>
      </c>
      <c r="S20" s="206">
        <f t="shared" si="7"/>
        <v>0</v>
      </c>
      <c r="T20" s="206">
        <f t="shared" si="8"/>
        <v>0</v>
      </c>
      <c r="U20" s="206">
        <f t="shared" si="9"/>
        <v>0</v>
      </c>
      <c r="V20" s="206">
        <f t="shared" si="10"/>
        <v>0</v>
      </c>
      <c r="W20" s="207">
        <v>400</v>
      </c>
      <c r="X20" s="208">
        <f t="shared" si="11"/>
        <v>15</v>
      </c>
      <c r="Y20" s="208" t="str">
        <f t="shared" si="25"/>
        <v/>
      </c>
      <c r="Z20" s="208" t="str">
        <f t="shared" si="12"/>
        <v/>
      </c>
      <c r="AA20" s="208" t="str">
        <f t="shared" si="26"/>
        <v/>
      </c>
      <c r="AB20" s="209">
        <f t="shared" si="13"/>
        <v>0.8</v>
      </c>
      <c r="AC20" s="207" t="s">
        <v>134</v>
      </c>
      <c r="AD20" s="209"/>
      <c r="AE20" s="206">
        <f t="shared" si="14"/>
        <v>0</v>
      </c>
      <c r="AF20" s="206">
        <f t="shared" si="15"/>
        <v>0</v>
      </c>
      <c r="AG20" s="206">
        <f t="shared" si="16"/>
        <v>0</v>
      </c>
      <c r="AH20" s="206">
        <f t="shared" si="17"/>
        <v>0</v>
      </c>
      <c r="AI20" s="206">
        <f t="shared" si="18"/>
        <v>33.9</v>
      </c>
      <c r="AJ20" s="206">
        <f t="shared" si="19"/>
        <v>1.0169999999999999</v>
      </c>
      <c r="AK20" s="206">
        <f t="shared" si="20"/>
        <v>32.882999999999996</v>
      </c>
      <c r="AL20" s="206">
        <f t="shared" si="27"/>
        <v>0</v>
      </c>
      <c r="AM20" s="206">
        <f t="shared" si="28"/>
        <v>0</v>
      </c>
      <c r="AN20" s="206">
        <f t="shared" si="29"/>
        <v>0</v>
      </c>
      <c r="AO20" s="206">
        <f t="shared" si="30"/>
        <v>1.0169999999999999</v>
      </c>
      <c r="AP20" s="206">
        <f t="shared" si="31"/>
        <v>0</v>
      </c>
      <c r="AQ20" s="206">
        <f t="shared" si="32"/>
        <v>0</v>
      </c>
      <c r="AR20" s="206">
        <f t="shared" si="33"/>
        <v>0</v>
      </c>
      <c r="AS20" s="206">
        <f t="shared" si="34"/>
        <v>0</v>
      </c>
      <c r="AT20" s="206">
        <f t="shared" si="35"/>
        <v>0</v>
      </c>
      <c r="AU20" s="206">
        <f t="shared" si="36"/>
        <v>0</v>
      </c>
      <c r="AV20" s="206">
        <f t="shared" si="37"/>
        <v>30.910019999999996</v>
      </c>
      <c r="AW20" s="206">
        <f t="shared" si="38"/>
        <v>0.32882999999999996</v>
      </c>
      <c r="AX20" s="206">
        <f t="shared" si="39"/>
        <v>0</v>
      </c>
      <c r="AY20" s="206">
        <f t="shared" si="40"/>
        <v>0</v>
      </c>
      <c r="AZ20" s="206">
        <f t="shared" si="41"/>
        <v>1.6441499999999998</v>
      </c>
      <c r="BA20" s="206">
        <f t="shared" si="21"/>
        <v>12</v>
      </c>
      <c r="BB20" s="206">
        <f t="shared" si="22"/>
        <v>32.015044407846119</v>
      </c>
      <c r="BC20" s="206">
        <f t="shared" si="23"/>
        <v>0</v>
      </c>
      <c r="BD20" s="206">
        <f t="shared" si="24"/>
        <v>84.75</v>
      </c>
      <c r="BE20" s="206">
        <f t="shared" si="43"/>
        <v>2.1</v>
      </c>
    </row>
    <row r="21" spans="1:58" s="212" customFormat="1" x14ac:dyDescent="0.2">
      <c r="A21" s="198">
        <v>1</v>
      </c>
      <c r="B21" s="199" t="s">
        <v>561</v>
      </c>
      <c r="C21" s="200" t="s">
        <v>562</v>
      </c>
      <c r="D21" s="199" t="s">
        <v>561</v>
      </c>
      <c r="E21" s="200" t="s">
        <v>133</v>
      </c>
      <c r="F21" s="213">
        <v>19</v>
      </c>
      <c r="G21" s="203">
        <f t="shared" si="0"/>
        <v>0.7</v>
      </c>
      <c r="H21" s="203">
        <f t="shared" si="1"/>
        <v>1.5799999999999998</v>
      </c>
      <c r="I21" s="214" t="s">
        <v>603</v>
      </c>
      <c r="J21" s="214">
        <v>1.8</v>
      </c>
      <c r="K21" s="213">
        <v>0.7</v>
      </c>
      <c r="L21" s="205">
        <v>3.38</v>
      </c>
      <c r="M21" s="206">
        <f t="shared" si="2"/>
        <v>1.1399999999999999</v>
      </c>
      <c r="N21" s="206">
        <v>0</v>
      </c>
      <c r="O21" s="206">
        <f t="shared" si="4"/>
        <v>0</v>
      </c>
      <c r="P21" s="206">
        <f t="shared" si="5"/>
        <v>0</v>
      </c>
      <c r="Q21" s="206" t="b">
        <f t="shared" si="6"/>
        <v>0</v>
      </c>
      <c r="R21" s="206" t="b">
        <f t="shared" si="42"/>
        <v>0</v>
      </c>
      <c r="S21" s="206">
        <f t="shared" si="7"/>
        <v>0</v>
      </c>
      <c r="T21" s="206">
        <f t="shared" si="8"/>
        <v>0</v>
      </c>
      <c r="U21" s="206">
        <f t="shared" si="9"/>
        <v>0</v>
      </c>
      <c r="V21" s="206">
        <f t="shared" si="10"/>
        <v>0</v>
      </c>
      <c r="W21" s="207">
        <v>150</v>
      </c>
      <c r="X21" s="208" t="str">
        <f t="shared" si="11"/>
        <v/>
      </c>
      <c r="Y21" s="208" t="str">
        <f t="shared" si="25"/>
        <v/>
      </c>
      <c r="Z21" s="208" t="str">
        <f t="shared" si="12"/>
        <v/>
      </c>
      <c r="AA21" s="208">
        <f t="shared" si="26"/>
        <v>19</v>
      </c>
      <c r="AB21" s="209">
        <f t="shared" si="13"/>
        <v>0.8</v>
      </c>
      <c r="AC21" s="207" t="s">
        <v>134</v>
      </c>
      <c r="AD21" s="209"/>
      <c r="AE21" s="206">
        <f t="shared" si="14"/>
        <v>0</v>
      </c>
      <c r="AF21" s="206">
        <f t="shared" si="15"/>
        <v>0</v>
      </c>
      <c r="AG21" s="206">
        <f t="shared" si="16"/>
        <v>0</v>
      </c>
      <c r="AH21" s="206">
        <f t="shared" si="17"/>
        <v>0</v>
      </c>
      <c r="AI21" s="206">
        <f t="shared" si="18"/>
        <v>17.327999999999999</v>
      </c>
      <c r="AJ21" s="206">
        <f t="shared" si="19"/>
        <v>0.51983999999999997</v>
      </c>
      <c r="AK21" s="206">
        <f t="shared" si="20"/>
        <v>16.808159999999997</v>
      </c>
      <c r="AL21" s="206">
        <f t="shared" si="27"/>
        <v>0.51983999999999997</v>
      </c>
      <c r="AM21" s="206">
        <f t="shared" si="28"/>
        <v>0</v>
      </c>
      <c r="AN21" s="206">
        <f t="shared" si="29"/>
        <v>0</v>
      </c>
      <c r="AO21" s="206">
        <f t="shared" si="30"/>
        <v>0</v>
      </c>
      <c r="AP21" s="206">
        <f t="shared" si="31"/>
        <v>0</v>
      </c>
      <c r="AQ21" s="206">
        <f t="shared" si="32"/>
        <v>0</v>
      </c>
      <c r="AR21" s="206">
        <f t="shared" si="33"/>
        <v>0</v>
      </c>
      <c r="AS21" s="206">
        <f t="shared" si="34"/>
        <v>0</v>
      </c>
      <c r="AT21" s="206">
        <f t="shared" si="35"/>
        <v>16.724119199999997</v>
      </c>
      <c r="AU21" s="206">
        <f t="shared" si="36"/>
        <v>8.4040799999999985E-2</v>
      </c>
      <c r="AV21" s="206">
        <f t="shared" si="37"/>
        <v>0</v>
      </c>
      <c r="AW21" s="206">
        <f t="shared" si="38"/>
        <v>0</v>
      </c>
      <c r="AX21" s="206">
        <f t="shared" si="39"/>
        <v>0</v>
      </c>
      <c r="AY21" s="206">
        <f t="shared" si="40"/>
        <v>0</v>
      </c>
      <c r="AZ21" s="206">
        <f t="shared" si="41"/>
        <v>0</v>
      </c>
      <c r="BA21" s="206">
        <f t="shared" si="21"/>
        <v>15.200000000000001</v>
      </c>
      <c r="BB21" s="206">
        <f t="shared" si="22"/>
        <v>16.99224228514759</v>
      </c>
      <c r="BC21" s="206">
        <f t="shared" si="23"/>
        <v>0</v>
      </c>
      <c r="BD21" s="206">
        <f t="shared" si="24"/>
        <v>0</v>
      </c>
      <c r="BE21" s="206">
        <v>0</v>
      </c>
    </row>
    <row r="22" spans="1:58" s="212" customFormat="1" x14ac:dyDescent="0.2">
      <c r="A22" s="198">
        <v>1</v>
      </c>
      <c r="B22" s="199" t="s">
        <v>561</v>
      </c>
      <c r="C22" s="200" t="s">
        <v>133</v>
      </c>
      <c r="D22" s="199" t="s">
        <v>561</v>
      </c>
      <c r="E22" s="200" t="s">
        <v>615</v>
      </c>
      <c r="F22" s="213">
        <v>68.099999999999994</v>
      </c>
      <c r="G22" s="203">
        <f t="shared" si="0"/>
        <v>3.38</v>
      </c>
      <c r="H22" s="203">
        <f t="shared" si="1"/>
        <v>3.11</v>
      </c>
      <c r="I22" s="214" t="s">
        <v>603</v>
      </c>
      <c r="J22" s="214">
        <v>0</v>
      </c>
      <c r="K22" s="213">
        <v>3.38</v>
      </c>
      <c r="L22" s="205">
        <v>3.11</v>
      </c>
      <c r="M22" s="206">
        <f t="shared" si="2"/>
        <v>3.2450000000000001</v>
      </c>
      <c r="N22" s="206">
        <f t="shared" si="3"/>
        <v>0</v>
      </c>
      <c r="O22" s="206">
        <f t="shared" si="4"/>
        <v>0</v>
      </c>
      <c r="P22" s="206">
        <f t="shared" si="5"/>
        <v>1</v>
      </c>
      <c r="Q22" s="206">
        <f t="shared" si="6"/>
        <v>1.43</v>
      </c>
      <c r="R22" s="206">
        <f t="shared" si="42"/>
        <v>0.44999999999999973</v>
      </c>
      <c r="S22" s="206">
        <f t="shared" si="7"/>
        <v>0</v>
      </c>
      <c r="T22" s="206">
        <f t="shared" si="8"/>
        <v>0</v>
      </c>
      <c r="U22" s="206">
        <f t="shared" si="9"/>
        <v>0</v>
      </c>
      <c r="V22" s="206">
        <f t="shared" si="10"/>
        <v>0</v>
      </c>
      <c r="W22" s="207">
        <v>600</v>
      </c>
      <c r="X22" s="208" t="str">
        <f t="shared" si="11"/>
        <v/>
      </c>
      <c r="Y22" s="208" t="str">
        <f t="shared" si="25"/>
        <v/>
      </c>
      <c r="Z22" s="208">
        <f t="shared" si="12"/>
        <v>68.099999999999994</v>
      </c>
      <c r="AA22" s="208" t="str">
        <f t="shared" si="26"/>
        <v/>
      </c>
      <c r="AB22" s="209">
        <f t="shared" si="13"/>
        <v>1</v>
      </c>
      <c r="AC22" s="207" t="s">
        <v>134</v>
      </c>
      <c r="AD22" s="209"/>
      <c r="AE22" s="206">
        <f t="shared" si="14"/>
        <v>0</v>
      </c>
      <c r="AF22" s="206">
        <f t="shared" si="15"/>
        <v>0</v>
      </c>
      <c r="AG22" s="206">
        <f t="shared" si="16"/>
        <v>0</v>
      </c>
      <c r="AH22" s="206">
        <f t="shared" si="17"/>
        <v>0</v>
      </c>
      <c r="AI22" s="206">
        <f t="shared" si="18"/>
        <v>220.9845</v>
      </c>
      <c r="AJ22" s="206">
        <f t="shared" si="19"/>
        <v>6.6295349999999997</v>
      </c>
      <c r="AK22" s="206">
        <f t="shared" si="20"/>
        <v>214.35496499999999</v>
      </c>
      <c r="AL22" s="206">
        <f t="shared" si="27"/>
        <v>0</v>
      </c>
      <c r="AM22" s="206">
        <f t="shared" si="28"/>
        <v>0</v>
      </c>
      <c r="AN22" s="206">
        <f t="shared" si="29"/>
        <v>0</v>
      </c>
      <c r="AO22" s="206">
        <f t="shared" si="30"/>
        <v>0</v>
      </c>
      <c r="AP22" s="206">
        <f t="shared" si="31"/>
        <v>0</v>
      </c>
      <c r="AQ22" s="206">
        <f t="shared" si="32"/>
        <v>0</v>
      </c>
      <c r="AR22" s="206">
        <f t="shared" si="33"/>
        <v>6.6295349999999997</v>
      </c>
      <c r="AS22" s="206">
        <f t="shared" si="34"/>
        <v>0</v>
      </c>
      <c r="AT22" s="206">
        <f t="shared" si="35"/>
        <v>0</v>
      </c>
      <c r="AU22" s="206">
        <f t="shared" si="36"/>
        <v>0</v>
      </c>
      <c r="AV22" s="206">
        <f t="shared" si="37"/>
        <v>0</v>
      </c>
      <c r="AW22" s="206">
        <f t="shared" si="38"/>
        <v>0</v>
      </c>
      <c r="AX22" s="206">
        <f t="shared" si="39"/>
        <v>182.20172024999999</v>
      </c>
      <c r="AY22" s="206">
        <f t="shared" si="40"/>
        <v>21.435496499999999</v>
      </c>
      <c r="AZ22" s="206">
        <f t="shared" si="41"/>
        <v>10.71774825</v>
      </c>
      <c r="BA22" s="206">
        <f t="shared" si="21"/>
        <v>68.099999999999994</v>
      </c>
      <c r="BB22" s="206">
        <f t="shared" si="22"/>
        <v>201.72967862614814</v>
      </c>
      <c r="BC22" s="206">
        <f t="shared" si="23"/>
        <v>0</v>
      </c>
      <c r="BD22" s="206">
        <f t="shared" si="24"/>
        <v>441.96899999999999</v>
      </c>
      <c r="BE22" s="206">
        <f>IF(A22="","",IF(W22=400,F22*0.14,IF(W22=500,F22*0.14,IF(W22=600,F22*0.22,IF(W22=800,F22*0.43,IF(W22=1000,F22*0.66))))))</f>
        <v>14.981999999999999</v>
      </c>
    </row>
    <row r="23" spans="1:58" s="212" customFormat="1" x14ac:dyDescent="0.2">
      <c r="A23" s="198">
        <v>1</v>
      </c>
      <c r="B23" s="199" t="s">
        <v>643</v>
      </c>
      <c r="C23" s="200" t="s">
        <v>606</v>
      </c>
      <c r="D23" s="199" t="s">
        <v>600</v>
      </c>
      <c r="E23" s="200" t="s">
        <v>608</v>
      </c>
      <c r="F23" s="213">
        <v>3.46</v>
      </c>
      <c r="G23" s="203">
        <f t="shared" si="0"/>
        <v>0.7</v>
      </c>
      <c r="H23" s="203">
        <f t="shared" si="1"/>
        <v>1.9</v>
      </c>
      <c r="I23" s="214" t="s">
        <v>616</v>
      </c>
      <c r="J23" s="214">
        <v>0</v>
      </c>
      <c r="K23" s="213">
        <v>0.7</v>
      </c>
      <c r="L23" s="205">
        <v>1.9</v>
      </c>
      <c r="M23" s="206">
        <f t="shared" si="2"/>
        <v>1.2999999999999998</v>
      </c>
      <c r="N23" s="206" t="b">
        <f t="shared" si="3"/>
        <v>0</v>
      </c>
      <c r="O23" s="206" t="b">
        <f t="shared" si="4"/>
        <v>0</v>
      </c>
      <c r="P23" s="206" t="b">
        <f t="shared" si="5"/>
        <v>0</v>
      </c>
      <c r="Q23" s="206" t="b">
        <f t="shared" si="6"/>
        <v>0</v>
      </c>
      <c r="R23" s="206" t="b">
        <f t="shared" si="42"/>
        <v>0</v>
      </c>
      <c r="S23" s="206">
        <f t="shared" si="7"/>
        <v>0</v>
      </c>
      <c r="T23" s="206">
        <f t="shared" si="8"/>
        <v>0</v>
      </c>
      <c r="U23" s="206">
        <f t="shared" si="9"/>
        <v>0</v>
      </c>
      <c r="V23" s="206">
        <f t="shared" si="10"/>
        <v>1</v>
      </c>
      <c r="W23" s="207">
        <v>400</v>
      </c>
      <c r="X23" s="208">
        <f t="shared" si="11"/>
        <v>3.46</v>
      </c>
      <c r="Y23" s="208" t="str">
        <f t="shared" si="25"/>
        <v/>
      </c>
      <c r="Z23" s="208" t="str">
        <f t="shared" si="12"/>
        <v/>
      </c>
      <c r="AA23" s="208" t="str">
        <f t="shared" si="26"/>
        <v/>
      </c>
      <c r="AB23" s="209">
        <f t="shared" si="13"/>
        <v>0.8</v>
      </c>
      <c r="AC23" s="207" t="s">
        <v>134</v>
      </c>
      <c r="AD23" s="209"/>
      <c r="AE23" s="206">
        <f t="shared" si="14"/>
        <v>0</v>
      </c>
      <c r="AF23" s="206">
        <f t="shared" si="15"/>
        <v>0</v>
      </c>
      <c r="AG23" s="206">
        <f t="shared" si="16"/>
        <v>0</v>
      </c>
      <c r="AH23" s="206">
        <f t="shared" si="17"/>
        <v>0</v>
      </c>
      <c r="AI23" s="206">
        <f t="shared" si="18"/>
        <v>3.5983999999999998</v>
      </c>
      <c r="AJ23" s="206">
        <f t="shared" si="19"/>
        <v>0.10795199999999999</v>
      </c>
      <c r="AK23" s="206">
        <f t="shared" si="20"/>
        <v>3.4904479999999998</v>
      </c>
      <c r="AL23" s="206">
        <f t="shared" si="27"/>
        <v>0.10795199999999999</v>
      </c>
      <c r="AM23" s="206">
        <f t="shared" si="28"/>
        <v>0</v>
      </c>
      <c r="AN23" s="206">
        <f t="shared" si="29"/>
        <v>0</v>
      </c>
      <c r="AO23" s="206">
        <f t="shared" si="30"/>
        <v>0</v>
      </c>
      <c r="AP23" s="206">
        <f t="shared" si="31"/>
        <v>0</v>
      </c>
      <c r="AQ23" s="206">
        <f t="shared" si="32"/>
        <v>0</v>
      </c>
      <c r="AR23" s="206">
        <f t="shared" si="33"/>
        <v>0</v>
      </c>
      <c r="AS23" s="206">
        <f t="shared" si="34"/>
        <v>0</v>
      </c>
      <c r="AT23" s="206">
        <f t="shared" si="35"/>
        <v>3.4729957599999999</v>
      </c>
      <c r="AU23" s="206">
        <f t="shared" si="36"/>
        <v>1.7452240000000001E-2</v>
      </c>
      <c r="AV23" s="206">
        <f t="shared" si="37"/>
        <v>0</v>
      </c>
      <c r="AW23" s="206">
        <f t="shared" si="38"/>
        <v>0</v>
      </c>
      <c r="AX23" s="206">
        <f t="shared" si="39"/>
        <v>0</v>
      </c>
      <c r="AY23" s="206">
        <f t="shared" si="40"/>
        <v>0</v>
      </c>
      <c r="AZ23" s="206">
        <f t="shared" si="41"/>
        <v>0</v>
      </c>
      <c r="BA23" s="206">
        <f t="shared" si="21"/>
        <v>2.7680000000000002</v>
      </c>
      <c r="BB23" s="206">
        <f t="shared" si="22"/>
        <v>3.1636035767431725</v>
      </c>
      <c r="BC23" s="206">
        <f t="shared" si="23"/>
        <v>0</v>
      </c>
      <c r="BD23" s="206">
        <f t="shared" si="24"/>
        <v>0</v>
      </c>
      <c r="BE23" s="206">
        <f>IF(A23="","",IF(W23=400,F23*0.14,IF(W23=500,F23*0.14,IF(W23=600,F23*0.22,IF(W23=800,F23*0.43,IF(W23=1000,F23*0.66))))))</f>
        <v>0.48440000000000005</v>
      </c>
    </row>
    <row r="24" spans="1:58" s="212" customFormat="1" x14ac:dyDescent="0.2">
      <c r="A24" s="198">
        <v>1</v>
      </c>
      <c r="B24" s="199" t="s">
        <v>600</v>
      </c>
      <c r="C24" s="200" t="s">
        <v>608</v>
      </c>
      <c r="D24" s="199" t="s">
        <v>561</v>
      </c>
      <c r="E24" s="200" t="s">
        <v>615</v>
      </c>
      <c r="F24" s="213">
        <v>3.5</v>
      </c>
      <c r="G24" s="203">
        <f t="shared" si="0"/>
        <v>1.9</v>
      </c>
      <c r="H24" s="203">
        <f t="shared" si="1"/>
        <v>0.50999999999999979</v>
      </c>
      <c r="I24" s="214" t="s">
        <v>603</v>
      </c>
      <c r="J24" s="214">
        <v>2.6</v>
      </c>
      <c r="K24" s="213">
        <v>1.9</v>
      </c>
      <c r="L24" s="205">
        <v>3.11</v>
      </c>
      <c r="M24" s="206">
        <f t="shared" si="2"/>
        <v>1.2049999999999998</v>
      </c>
      <c r="N24" s="206" t="b">
        <f t="shared" si="3"/>
        <v>0</v>
      </c>
      <c r="O24" s="206">
        <f t="shared" si="4"/>
        <v>0</v>
      </c>
      <c r="P24" s="206">
        <f t="shared" si="5"/>
        <v>0</v>
      </c>
      <c r="Q24" s="206" t="b">
        <f t="shared" si="6"/>
        <v>0</v>
      </c>
      <c r="R24" s="206" t="b">
        <f t="shared" si="42"/>
        <v>0</v>
      </c>
      <c r="S24" s="206">
        <f t="shared" si="7"/>
        <v>0</v>
      </c>
      <c r="T24" s="206">
        <f t="shared" si="8"/>
        <v>1</v>
      </c>
      <c r="U24" s="206">
        <f t="shared" si="9"/>
        <v>0</v>
      </c>
      <c r="V24" s="206">
        <f t="shared" si="10"/>
        <v>0</v>
      </c>
      <c r="W24" s="207">
        <v>400</v>
      </c>
      <c r="X24" s="208">
        <f t="shared" si="11"/>
        <v>3.5</v>
      </c>
      <c r="Y24" s="208" t="str">
        <f t="shared" si="25"/>
        <v/>
      </c>
      <c r="Z24" s="208" t="str">
        <f t="shared" si="12"/>
        <v/>
      </c>
      <c r="AA24" s="208" t="str">
        <f t="shared" si="26"/>
        <v/>
      </c>
      <c r="AB24" s="209">
        <f t="shared" si="13"/>
        <v>0.8</v>
      </c>
      <c r="AC24" s="207" t="s">
        <v>134</v>
      </c>
      <c r="AD24" s="209"/>
      <c r="AE24" s="206">
        <f t="shared" si="14"/>
        <v>0</v>
      </c>
      <c r="AF24" s="206">
        <f t="shared" si="15"/>
        <v>0</v>
      </c>
      <c r="AG24" s="206">
        <f t="shared" si="16"/>
        <v>0</v>
      </c>
      <c r="AH24" s="206">
        <f t="shared" si="17"/>
        <v>0</v>
      </c>
      <c r="AI24" s="206">
        <f t="shared" si="18"/>
        <v>3.3739999999999997</v>
      </c>
      <c r="AJ24" s="206">
        <f t="shared" si="19"/>
        <v>0.10121999999999999</v>
      </c>
      <c r="AK24" s="206">
        <f t="shared" si="20"/>
        <v>3.2727799999999996</v>
      </c>
      <c r="AL24" s="206">
        <f t="shared" si="27"/>
        <v>0.10121999999999999</v>
      </c>
      <c r="AM24" s="206">
        <f t="shared" si="28"/>
        <v>0</v>
      </c>
      <c r="AN24" s="206">
        <f t="shared" si="29"/>
        <v>0</v>
      </c>
      <c r="AO24" s="206">
        <f t="shared" si="30"/>
        <v>0</v>
      </c>
      <c r="AP24" s="206">
        <f t="shared" si="31"/>
        <v>0</v>
      </c>
      <c r="AQ24" s="206">
        <f t="shared" si="32"/>
        <v>0</v>
      </c>
      <c r="AR24" s="206">
        <f t="shared" si="33"/>
        <v>0</v>
      </c>
      <c r="AS24" s="206">
        <f t="shared" si="34"/>
        <v>0</v>
      </c>
      <c r="AT24" s="206">
        <f t="shared" si="35"/>
        <v>3.2564160999999996</v>
      </c>
      <c r="AU24" s="206">
        <f t="shared" si="36"/>
        <v>1.6363899999999997E-2</v>
      </c>
      <c r="AV24" s="206">
        <f t="shared" si="37"/>
        <v>0</v>
      </c>
      <c r="AW24" s="206">
        <f t="shared" si="38"/>
        <v>0</v>
      </c>
      <c r="AX24" s="206">
        <f t="shared" si="39"/>
        <v>0</v>
      </c>
      <c r="AY24" s="206">
        <f t="shared" si="40"/>
        <v>0</v>
      </c>
      <c r="AZ24" s="206">
        <f t="shared" si="41"/>
        <v>0</v>
      </c>
      <c r="BA24" s="206">
        <f t="shared" si="21"/>
        <v>2.8000000000000003</v>
      </c>
      <c r="BB24" s="206">
        <f t="shared" si="22"/>
        <v>2.9341770284974285</v>
      </c>
      <c r="BC24" s="206">
        <f t="shared" si="23"/>
        <v>0</v>
      </c>
      <c r="BD24" s="206">
        <f t="shared" si="24"/>
        <v>0</v>
      </c>
      <c r="BE24" s="206">
        <f>IF(A24="","",IF(W24=400,F24*0.14,IF(W24=500,F24*0.14,IF(W24=600,F24*0.22,IF(W24=800,F24*0.43,IF(W24=1000,F24*0.66))))))</f>
        <v>0.49000000000000005</v>
      </c>
    </row>
    <row r="25" spans="1:58" s="212" customFormat="1" x14ac:dyDescent="0.2">
      <c r="A25" s="198">
        <v>1</v>
      </c>
      <c r="B25" s="199" t="s">
        <v>561</v>
      </c>
      <c r="C25" s="200" t="s">
        <v>615</v>
      </c>
      <c r="D25" s="199" t="s">
        <v>561</v>
      </c>
      <c r="E25" s="200" t="s">
        <v>617</v>
      </c>
      <c r="F25" s="213">
        <v>80</v>
      </c>
      <c r="G25" s="203">
        <f t="shared" si="0"/>
        <v>3.11</v>
      </c>
      <c r="H25" s="203">
        <f t="shared" si="1"/>
        <v>1.22</v>
      </c>
      <c r="I25" s="214" t="s">
        <v>603</v>
      </c>
      <c r="J25" s="214">
        <v>0</v>
      </c>
      <c r="K25" s="213">
        <v>3.11</v>
      </c>
      <c r="L25" s="205">
        <v>1.22</v>
      </c>
      <c r="M25" s="206">
        <f t="shared" si="2"/>
        <v>2.165</v>
      </c>
      <c r="N25" s="206">
        <f t="shared" si="3"/>
        <v>0</v>
      </c>
      <c r="O25" s="206">
        <f t="shared" si="4"/>
        <v>0</v>
      </c>
      <c r="P25" s="206">
        <f t="shared" si="5"/>
        <v>1</v>
      </c>
      <c r="Q25" s="206">
        <f t="shared" si="6"/>
        <v>1.1599999999999999</v>
      </c>
      <c r="R25" s="206">
        <f t="shared" si="42"/>
        <v>0.44999999999999996</v>
      </c>
      <c r="S25" s="206">
        <f t="shared" si="7"/>
        <v>0</v>
      </c>
      <c r="T25" s="206">
        <f t="shared" si="8"/>
        <v>0</v>
      </c>
      <c r="U25" s="206">
        <f t="shared" si="9"/>
        <v>0</v>
      </c>
      <c r="V25" s="206">
        <f t="shared" si="10"/>
        <v>0</v>
      </c>
      <c r="W25" s="207">
        <v>600</v>
      </c>
      <c r="X25" s="208" t="str">
        <f t="shared" si="11"/>
        <v/>
      </c>
      <c r="Y25" s="208" t="str">
        <f t="shared" si="25"/>
        <v/>
      </c>
      <c r="Z25" s="208">
        <f t="shared" si="12"/>
        <v>80</v>
      </c>
      <c r="AA25" s="208" t="str">
        <f t="shared" si="26"/>
        <v/>
      </c>
      <c r="AB25" s="209">
        <f t="shared" si="13"/>
        <v>1</v>
      </c>
      <c r="AC25" s="207" t="s">
        <v>134</v>
      </c>
      <c r="AD25" s="209"/>
      <c r="AE25" s="206">
        <f t="shared" si="14"/>
        <v>0</v>
      </c>
      <c r="AF25" s="206">
        <f t="shared" si="15"/>
        <v>0</v>
      </c>
      <c r="AG25" s="206">
        <f t="shared" si="16"/>
        <v>0</v>
      </c>
      <c r="AH25" s="206">
        <f t="shared" si="17"/>
        <v>0</v>
      </c>
      <c r="AI25" s="206">
        <f t="shared" si="18"/>
        <v>173.2</v>
      </c>
      <c r="AJ25" s="206">
        <f t="shared" si="19"/>
        <v>5.1959999999999997</v>
      </c>
      <c r="AK25" s="206">
        <f t="shared" si="20"/>
        <v>168.00399999999999</v>
      </c>
      <c r="AL25" s="206">
        <f t="shared" si="27"/>
        <v>0</v>
      </c>
      <c r="AM25" s="206">
        <f t="shared" si="28"/>
        <v>0</v>
      </c>
      <c r="AN25" s="206">
        <f t="shared" si="29"/>
        <v>0</v>
      </c>
      <c r="AO25" s="206">
        <f t="shared" si="30"/>
        <v>5.1959999999999997</v>
      </c>
      <c r="AP25" s="206">
        <f t="shared" si="31"/>
        <v>0</v>
      </c>
      <c r="AQ25" s="206">
        <f t="shared" si="32"/>
        <v>0</v>
      </c>
      <c r="AR25" s="206">
        <f t="shared" si="33"/>
        <v>0</v>
      </c>
      <c r="AS25" s="206">
        <f t="shared" si="34"/>
        <v>0</v>
      </c>
      <c r="AT25" s="206">
        <f t="shared" si="35"/>
        <v>0</v>
      </c>
      <c r="AU25" s="206">
        <f t="shared" si="36"/>
        <v>0</v>
      </c>
      <c r="AV25" s="206">
        <f t="shared" si="37"/>
        <v>157.92375999999999</v>
      </c>
      <c r="AW25" s="206">
        <f t="shared" si="38"/>
        <v>1.68004</v>
      </c>
      <c r="AX25" s="206">
        <f t="shared" si="39"/>
        <v>0</v>
      </c>
      <c r="AY25" s="206">
        <f t="shared" si="40"/>
        <v>0</v>
      </c>
      <c r="AZ25" s="206">
        <f t="shared" si="41"/>
        <v>8.4001999999999999</v>
      </c>
      <c r="BA25" s="206">
        <f t="shared" si="21"/>
        <v>80</v>
      </c>
      <c r="BB25" s="206">
        <f t="shared" si="22"/>
        <v>150.58053289415346</v>
      </c>
      <c r="BC25" s="206">
        <f t="shared" si="23"/>
        <v>346.4</v>
      </c>
      <c r="BD25" s="206">
        <f t="shared" si="24"/>
        <v>0</v>
      </c>
      <c r="BE25" s="206">
        <f>IF(A25="","",IF(W25=400,F25*0.14,IF(W25=500,F25*0.14,IF(W25=600,F25*0.22,IF(W25=800,F25*0.43,IF(W25=1000,F25*0.66))))))</f>
        <v>17.600000000000001</v>
      </c>
    </row>
    <row r="26" spans="1:58" s="212" customFormat="1" x14ac:dyDescent="0.2">
      <c r="A26" s="198">
        <v>1</v>
      </c>
      <c r="B26" s="199" t="s">
        <v>561</v>
      </c>
      <c r="C26" s="200" t="s">
        <v>617</v>
      </c>
      <c r="D26" s="199" t="s">
        <v>602</v>
      </c>
      <c r="E26" s="200"/>
      <c r="F26" s="213">
        <v>25</v>
      </c>
      <c r="G26" s="203">
        <f t="shared" si="0"/>
        <v>1.22</v>
      </c>
      <c r="H26" s="203">
        <f t="shared" si="1"/>
        <v>0</v>
      </c>
      <c r="I26" s="214" t="s">
        <v>603</v>
      </c>
      <c r="J26" s="214">
        <v>0</v>
      </c>
      <c r="K26" s="213">
        <v>1.22</v>
      </c>
      <c r="L26" s="205">
        <v>0</v>
      </c>
      <c r="M26" s="206">
        <f t="shared" si="2"/>
        <v>0.61</v>
      </c>
      <c r="N26" s="206">
        <f t="shared" si="3"/>
        <v>0</v>
      </c>
      <c r="O26" s="206">
        <f t="shared" si="4"/>
        <v>0</v>
      </c>
      <c r="P26" s="206">
        <f t="shared" si="5"/>
        <v>1</v>
      </c>
      <c r="Q26" s="206">
        <f t="shared" si="6"/>
        <v>0</v>
      </c>
      <c r="R26" s="206">
        <v>0</v>
      </c>
      <c r="S26" s="206">
        <f t="shared" si="7"/>
        <v>0</v>
      </c>
      <c r="T26" s="206">
        <f t="shared" si="8"/>
        <v>0</v>
      </c>
      <c r="U26" s="206">
        <f t="shared" si="9"/>
        <v>0</v>
      </c>
      <c r="V26" s="206">
        <f t="shared" si="10"/>
        <v>0</v>
      </c>
      <c r="W26" s="207">
        <v>600</v>
      </c>
      <c r="X26" s="208" t="str">
        <f t="shared" si="11"/>
        <v/>
      </c>
      <c r="Y26" s="208" t="str">
        <f t="shared" si="25"/>
        <v/>
      </c>
      <c r="Z26" s="208">
        <f t="shared" si="12"/>
        <v>25</v>
      </c>
      <c r="AA26" s="208" t="str">
        <f t="shared" si="26"/>
        <v/>
      </c>
      <c r="AB26" s="209">
        <f t="shared" si="13"/>
        <v>1</v>
      </c>
      <c r="AC26" s="207" t="s">
        <v>134</v>
      </c>
      <c r="AD26" s="209"/>
      <c r="AE26" s="206">
        <f t="shared" si="14"/>
        <v>0</v>
      </c>
      <c r="AF26" s="206">
        <f t="shared" si="15"/>
        <v>0</v>
      </c>
      <c r="AG26" s="206">
        <f t="shared" si="16"/>
        <v>0</v>
      </c>
      <c r="AH26" s="206">
        <f t="shared" si="17"/>
        <v>0</v>
      </c>
      <c r="AI26" s="206">
        <f t="shared" si="18"/>
        <v>15.25</v>
      </c>
      <c r="AJ26" s="206">
        <f t="shared" si="19"/>
        <v>0.45749999999999996</v>
      </c>
      <c r="AK26" s="206">
        <f t="shared" si="20"/>
        <v>14.7925</v>
      </c>
      <c r="AL26" s="206">
        <f t="shared" si="27"/>
        <v>0.45749999999999996</v>
      </c>
      <c r="AM26" s="206">
        <f t="shared" si="28"/>
        <v>0</v>
      </c>
      <c r="AN26" s="206">
        <f t="shared" si="29"/>
        <v>0</v>
      </c>
      <c r="AO26" s="206">
        <f t="shared" si="30"/>
        <v>0</v>
      </c>
      <c r="AP26" s="206">
        <f t="shared" si="31"/>
        <v>0</v>
      </c>
      <c r="AQ26" s="206">
        <f t="shared" si="32"/>
        <v>0</v>
      </c>
      <c r="AR26" s="206">
        <f t="shared" si="33"/>
        <v>0</v>
      </c>
      <c r="AS26" s="206">
        <f t="shared" si="34"/>
        <v>0</v>
      </c>
      <c r="AT26" s="206">
        <f t="shared" si="35"/>
        <v>14.7185375</v>
      </c>
      <c r="AU26" s="206">
        <f t="shared" si="36"/>
        <v>7.39625E-2</v>
      </c>
      <c r="AV26" s="206">
        <f t="shared" si="37"/>
        <v>0</v>
      </c>
      <c r="AW26" s="206">
        <f t="shared" si="38"/>
        <v>0</v>
      </c>
      <c r="AX26" s="206">
        <f t="shared" si="39"/>
        <v>0</v>
      </c>
      <c r="AY26" s="206">
        <f t="shared" si="40"/>
        <v>0</v>
      </c>
      <c r="AZ26" s="206">
        <f t="shared" si="41"/>
        <v>0</v>
      </c>
      <c r="BA26" s="206">
        <f t="shared" si="21"/>
        <v>25</v>
      </c>
      <c r="BB26" s="206">
        <f t="shared" si="22"/>
        <v>8.1814165294229646</v>
      </c>
      <c r="BC26" s="206">
        <f t="shared" si="23"/>
        <v>0</v>
      </c>
      <c r="BD26" s="206">
        <f t="shared" si="24"/>
        <v>0</v>
      </c>
      <c r="BE26" s="206">
        <f>IF(A26="","",IF(W26=400,F26*0.14,IF(W26=500,F26*0.14,IF(W26=600,F26*0.22,IF(W26=800,F26*0.43,IF(W26=1000,F26*0.66))))))</f>
        <v>5.5</v>
      </c>
    </row>
    <row r="27" spans="1:58" x14ac:dyDescent="0.2">
      <c r="A27" s="376"/>
      <c r="B27" s="377"/>
      <c r="C27" s="377"/>
      <c r="D27" s="377"/>
      <c r="E27" s="377"/>
      <c r="F27" s="377"/>
      <c r="G27" s="377"/>
      <c r="H27" s="377"/>
      <c r="I27" s="377"/>
      <c r="J27" s="377"/>
      <c r="K27" s="377"/>
      <c r="L27" s="377"/>
      <c r="M27" s="377"/>
      <c r="N27" s="377"/>
      <c r="O27" s="377"/>
      <c r="P27" s="377"/>
      <c r="Q27" s="377"/>
      <c r="R27" s="377"/>
      <c r="S27" s="377"/>
      <c r="T27" s="377"/>
      <c r="U27" s="377"/>
      <c r="V27" s="377"/>
      <c r="W27" s="377"/>
      <c r="X27" s="377"/>
      <c r="Y27" s="377"/>
      <c r="Z27" s="377"/>
      <c r="AA27" s="377"/>
      <c r="AB27" s="377"/>
      <c r="AC27" s="377"/>
      <c r="AD27" s="377"/>
      <c r="AE27" s="377"/>
      <c r="AF27" s="377"/>
      <c r="AG27" s="377"/>
      <c r="AH27" s="377"/>
      <c r="AI27" s="377"/>
      <c r="AJ27" s="377"/>
      <c r="AK27" s="377"/>
      <c r="AL27" s="377"/>
      <c r="AM27" s="377"/>
      <c r="AN27" s="377"/>
      <c r="AO27" s="377"/>
      <c r="AP27" s="377"/>
      <c r="AQ27" s="377"/>
      <c r="AR27" s="377"/>
      <c r="AS27" s="377"/>
      <c r="AT27" s="377"/>
      <c r="AU27" s="377"/>
      <c r="AV27" s="377"/>
      <c r="AW27" s="377"/>
      <c r="AX27" s="377"/>
      <c r="AY27" s="377"/>
      <c r="AZ27" s="377"/>
      <c r="BA27" s="377"/>
      <c r="BB27" s="377"/>
      <c r="BC27" s="377"/>
      <c r="BD27" s="377"/>
      <c r="BE27" s="378"/>
    </row>
    <row r="28" spans="1:58" x14ac:dyDescent="0.2">
      <c r="A28" s="379" t="s">
        <v>9</v>
      </c>
      <c r="B28" s="380"/>
      <c r="C28" s="380"/>
      <c r="D28" s="380"/>
      <c r="E28" s="381"/>
      <c r="F28" s="219">
        <f>SUM(F5:F26)</f>
        <v>369.59999999999997</v>
      </c>
      <c r="G28" s="220"/>
      <c r="H28" s="221"/>
      <c r="I28" s="222"/>
      <c r="J28" s="223"/>
      <c r="K28" s="221"/>
      <c r="L28" s="221"/>
      <c r="M28" s="224"/>
      <c r="N28" s="219">
        <f t="shared" ref="N28:U28" si="44">SUM(N5:N26)</f>
        <v>2</v>
      </c>
      <c r="O28" s="219">
        <f t="shared" si="44"/>
        <v>0</v>
      </c>
      <c r="P28" s="219">
        <f t="shared" si="44"/>
        <v>6</v>
      </c>
      <c r="Q28" s="219">
        <f t="shared" si="44"/>
        <v>6.99</v>
      </c>
      <c r="R28" s="219">
        <f t="shared" si="44"/>
        <v>3.1499999999999995</v>
      </c>
      <c r="S28" s="219">
        <f t="shared" si="44"/>
        <v>4</v>
      </c>
      <c r="T28" s="219">
        <f t="shared" si="44"/>
        <v>1</v>
      </c>
      <c r="U28" s="219">
        <f t="shared" si="44"/>
        <v>0</v>
      </c>
      <c r="V28" s="219">
        <f>SUM(V5:V26)+2</f>
        <v>5</v>
      </c>
      <c r="W28" s="219"/>
      <c r="X28" s="219">
        <f>SUM(X5:X26)</f>
        <v>54.7</v>
      </c>
      <c r="Y28" s="219">
        <f>SUM(Y5:Y26)</f>
        <v>26</v>
      </c>
      <c r="Z28" s="219">
        <f>SUM(Z5:Z26)</f>
        <v>241.2</v>
      </c>
      <c r="AA28" s="219">
        <f>SUM(AA5:AA26)</f>
        <v>47.7</v>
      </c>
      <c r="AB28" s="382"/>
      <c r="AC28" s="383"/>
      <c r="AD28" s="219">
        <f>SUM(AD5:AD26)</f>
        <v>0</v>
      </c>
      <c r="AE28" s="219">
        <f>SUM(AE5:AE26)</f>
        <v>0</v>
      </c>
      <c r="AF28" s="219">
        <f>SUM(AF5:AF26)</f>
        <v>0</v>
      </c>
      <c r="AG28" s="219">
        <f>SUM(AG5:AG26)</f>
        <v>0</v>
      </c>
      <c r="AH28" s="219">
        <f>(SUM(AH5:AH26))*2</f>
        <v>0</v>
      </c>
      <c r="AI28" s="219">
        <f t="shared" ref="AI28:BB28" si="45">SUM(AI5:AI26)</f>
        <v>816.74901999999997</v>
      </c>
      <c r="AJ28" s="219">
        <f t="shared" si="45"/>
        <v>24.502470599999999</v>
      </c>
      <c r="AK28" s="219">
        <f t="shared" si="45"/>
        <v>792.24654940000005</v>
      </c>
      <c r="AL28" s="219">
        <f t="shared" si="45"/>
        <v>1.6670880000000001</v>
      </c>
      <c r="AM28" s="219">
        <f t="shared" si="45"/>
        <v>0</v>
      </c>
      <c r="AN28" s="219">
        <f t="shared" si="45"/>
        <v>0</v>
      </c>
      <c r="AO28" s="219">
        <f t="shared" si="45"/>
        <v>9.7653575999999997</v>
      </c>
      <c r="AP28" s="219">
        <f t="shared" si="45"/>
        <v>0</v>
      </c>
      <c r="AQ28" s="219">
        <f t="shared" si="45"/>
        <v>0</v>
      </c>
      <c r="AR28" s="219">
        <f t="shared" si="45"/>
        <v>13.070024999999999</v>
      </c>
      <c r="AS28" s="219">
        <f t="shared" si="45"/>
        <v>0</v>
      </c>
      <c r="AT28" s="219">
        <f t="shared" si="45"/>
        <v>53.632999440000006</v>
      </c>
      <c r="AU28" s="219">
        <f t="shared" si="45"/>
        <v>0.26951255999999996</v>
      </c>
      <c r="AV28" s="219">
        <f t="shared" si="45"/>
        <v>296.80176865599998</v>
      </c>
      <c r="AW28" s="219">
        <f t="shared" si="45"/>
        <v>3.1574656239999999</v>
      </c>
      <c r="AX28" s="219">
        <f t="shared" si="45"/>
        <v>359.20785374999997</v>
      </c>
      <c r="AY28" s="219">
        <f t="shared" si="45"/>
        <v>42.259747499999996</v>
      </c>
      <c r="AZ28" s="219">
        <f t="shared" si="45"/>
        <v>36.91720187</v>
      </c>
      <c r="BA28" s="219">
        <f t="shared" si="45"/>
        <v>343.91999999999996</v>
      </c>
      <c r="BB28" s="219">
        <f t="shared" si="45"/>
        <v>735.72950530886862</v>
      </c>
      <c r="BC28" s="219">
        <f>SUM(BC5:BC26)/5</f>
        <v>91.001999999999995</v>
      </c>
      <c r="BD28" s="219">
        <f>SUM(BD5:BD26)</f>
        <v>1143.5047999999999</v>
      </c>
      <c r="BE28" s="219">
        <f>SUM(BE5:BE26)</f>
        <v>64.361999999999995</v>
      </c>
      <c r="BF28" s="225"/>
    </row>
    <row r="29" spans="1:58" x14ac:dyDescent="0.2">
      <c r="Q29" s="228"/>
      <c r="AE29" s="394" t="s">
        <v>29</v>
      </c>
      <c r="AF29" s="395"/>
      <c r="AG29" s="395"/>
      <c r="AH29" s="395"/>
      <c r="AI29" s="229"/>
      <c r="AJ29" s="230"/>
      <c r="AK29" s="230"/>
      <c r="AL29" s="389"/>
      <c r="AM29" s="389"/>
      <c r="AN29" s="389"/>
      <c r="AO29" s="389"/>
      <c r="AP29" s="389"/>
      <c r="AQ29" s="389"/>
      <c r="AR29" s="389"/>
      <c r="AS29" s="389"/>
      <c r="AT29" s="389"/>
      <c r="AU29" s="389"/>
      <c r="AV29" s="389"/>
      <c r="AW29" s="389"/>
      <c r="AX29" s="389"/>
      <c r="AY29" s="230"/>
      <c r="AZ29" s="230"/>
      <c r="BC29" s="231"/>
      <c r="BD29" s="231"/>
      <c r="BE29" s="231"/>
    </row>
    <row r="30" spans="1:58" ht="12.75" customHeight="1" x14ac:dyDescent="0.2">
      <c r="A30" s="365" t="s">
        <v>618</v>
      </c>
      <c r="B30" s="365"/>
      <c r="C30" s="365"/>
      <c r="D30" s="365"/>
      <c r="E30" s="365"/>
      <c r="F30" s="232">
        <f>X28</f>
        <v>54.7</v>
      </c>
      <c r="I30" s="270"/>
      <c r="J30" s="270"/>
      <c r="K30" s="361" t="s">
        <v>619</v>
      </c>
      <c r="L30" s="362"/>
      <c r="M30" s="362"/>
      <c r="N30" s="363"/>
      <c r="O30" s="274"/>
      <c r="P30" s="271">
        <v>512.37</v>
      </c>
      <c r="Q30" s="234"/>
      <c r="R30" s="227"/>
      <c r="S30" s="361" t="s">
        <v>620</v>
      </c>
      <c r="T30" s="362"/>
      <c r="U30" s="362"/>
      <c r="V30" s="363"/>
      <c r="W30" s="235">
        <f>S28</f>
        <v>4</v>
      </c>
      <c r="X30" s="227"/>
      <c r="Y30" s="236"/>
      <c r="AE30" s="366">
        <f>(AE28)*0.05</f>
        <v>0</v>
      </c>
      <c r="AF30" s="367"/>
      <c r="AG30" s="367"/>
      <c r="AH30" s="367"/>
      <c r="AI30" s="226"/>
      <c r="AJ30" s="226"/>
      <c r="AK30" s="368" t="s">
        <v>48</v>
      </c>
      <c r="AL30" s="369"/>
      <c r="AM30" s="369"/>
      <c r="AN30" s="369"/>
      <c r="AO30" s="369"/>
      <c r="AP30" s="369"/>
      <c r="AQ30" s="369"/>
      <c r="AR30" s="369"/>
      <c r="AS30" s="369"/>
      <c r="AT30" s="370"/>
      <c r="AU30" s="237"/>
      <c r="AV30" s="237"/>
      <c r="AW30" s="237"/>
      <c r="AX30" s="237"/>
      <c r="AY30" s="237"/>
      <c r="AZ30" s="237"/>
      <c r="BC30" s="231"/>
      <c r="BD30" s="231"/>
      <c r="BE30" s="231"/>
    </row>
    <row r="31" spans="1:58" ht="12.75" customHeight="1" x14ac:dyDescent="0.2">
      <c r="A31" s="371" t="s">
        <v>647</v>
      </c>
      <c r="B31" s="371"/>
      <c r="C31" s="371"/>
      <c r="D31" s="371"/>
      <c r="E31" s="371"/>
      <c r="F31" s="238">
        <f>Y28</f>
        <v>26</v>
      </c>
      <c r="I31" s="270"/>
      <c r="J31" s="270"/>
      <c r="K31" s="372" t="s">
        <v>625</v>
      </c>
      <c r="L31" s="373"/>
      <c r="M31" s="373"/>
      <c r="N31" s="373"/>
      <c r="O31" s="273"/>
      <c r="P31" s="233">
        <v>1</v>
      </c>
      <c r="Q31" s="234"/>
      <c r="R31" s="227"/>
      <c r="S31" s="361" t="s">
        <v>622</v>
      </c>
      <c r="T31" s="362"/>
      <c r="U31" s="362"/>
      <c r="V31" s="363"/>
      <c r="W31" s="239">
        <f>T28</f>
        <v>1</v>
      </c>
      <c r="X31" s="234"/>
      <c r="Y31" s="240"/>
      <c r="Z31" s="241"/>
      <c r="AK31" s="354">
        <f>(AM28+AP28+AU28+AW28+AY28)*1.3</f>
        <v>59.392743389199993</v>
      </c>
      <c r="AL31" s="355"/>
      <c r="AM31" s="355"/>
      <c r="AN31" s="355"/>
      <c r="AO31" s="355"/>
      <c r="AP31" s="355"/>
      <c r="AQ31" s="355"/>
      <c r="AR31" s="355"/>
      <c r="AS31" s="355"/>
      <c r="AT31" s="356"/>
      <c r="AU31" s="227"/>
      <c r="AV31" s="227"/>
      <c r="AW31" s="227"/>
      <c r="AX31" s="227"/>
      <c r="AY31" s="230"/>
      <c r="AZ31" s="230"/>
    </row>
    <row r="32" spans="1:58" ht="12.75" customHeight="1" x14ac:dyDescent="0.2">
      <c r="A32" s="365" t="s">
        <v>621</v>
      </c>
      <c r="B32" s="365"/>
      <c r="C32" s="365"/>
      <c r="D32" s="365"/>
      <c r="E32" s="365"/>
      <c r="F32" s="242">
        <f>Z28</f>
        <v>241.2</v>
      </c>
      <c r="I32" s="243"/>
      <c r="J32" s="243"/>
      <c r="K32" s="272"/>
      <c r="O32" s="241"/>
      <c r="P32" s="276"/>
      <c r="Q32" s="275"/>
      <c r="R32" s="227"/>
      <c r="S32" s="361" t="s">
        <v>623</v>
      </c>
      <c r="T32" s="362"/>
      <c r="U32" s="362"/>
      <c r="V32" s="363"/>
      <c r="W32" s="239">
        <f>N28</f>
        <v>2</v>
      </c>
      <c r="X32" s="234"/>
      <c r="Y32" s="244"/>
      <c r="Z32" s="241"/>
      <c r="AK32" s="351" t="s">
        <v>624</v>
      </c>
      <c r="AL32" s="352"/>
      <c r="AM32" s="352"/>
      <c r="AN32" s="352"/>
      <c r="AO32" s="352"/>
      <c r="AP32" s="352"/>
      <c r="AQ32" s="352"/>
      <c r="AR32" s="352"/>
      <c r="AS32" s="352"/>
      <c r="AT32" s="353"/>
      <c r="AU32" s="227"/>
      <c r="AV32" s="227"/>
      <c r="AW32" s="227"/>
      <c r="AX32" s="227"/>
      <c r="AY32" s="230"/>
      <c r="AZ32" s="230"/>
    </row>
    <row r="33" spans="1:57" x14ac:dyDescent="0.2">
      <c r="A33" s="364"/>
      <c r="B33" s="364"/>
      <c r="C33" s="364"/>
      <c r="D33" s="364"/>
      <c r="E33" s="364"/>
      <c r="F33" s="249"/>
      <c r="I33" s="270"/>
      <c r="J33" s="270"/>
      <c r="L33" s="241"/>
      <c r="O33" s="241"/>
      <c r="P33" s="241"/>
      <c r="Q33" s="277"/>
      <c r="R33" s="245"/>
      <c r="S33" s="361" t="s">
        <v>626</v>
      </c>
      <c r="T33" s="362"/>
      <c r="U33" s="362"/>
      <c r="V33" s="363"/>
      <c r="W33" s="239">
        <f>P28</f>
        <v>6</v>
      </c>
      <c r="X33" s="234"/>
      <c r="Y33" s="236"/>
      <c r="Z33" s="241"/>
      <c r="AJ33" s="246"/>
      <c r="AK33" s="354">
        <f>(AN28+AQ28+AS28+AZ28)*1.5</f>
        <v>55.375802804999999</v>
      </c>
      <c r="AL33" s="355"/>
      <c r="AM33" s="355"/>
      <c r="AN33" s="355"/>
      <c r="AO33" s="355"/>
      <c r="AP33" s="355"/>
      <c r="AQ33" s="355"/>
      <c r="AR33" s="355"/>
      <c r="AS33" s="355"/>
      <c r="AT33" s="356"/>
      <c r="AU33" s="247"/>
      <c r="AV33" s="237"/>
      <c r="AW33" s="237"/>
      <c r="AX33" s="237"/>
      <c r="AY33" s="248"/>
      <c r="AZ33" s="248"/>
      <c r="BC33" s="194"/>
      <c r="BD33" s="194"/>
      <c r="BE33" s="194"/>
    </row>
    <row r="34" spans="1:57" x14ac:dyDescent="0.2">
      <c r="A34" s="357"/>
      <c r="B34" s="357"/>
      <c r="C34" s="357"/>
      <c r="D34" s="357"/>
      <c r="E34" s="357"/>
      <c r="F34" s="244"/>
      <c r="I34" s="270"/>
      <c r="J34" s="270"/>
      <c r="O34" s="241"/>
      <c r="P34" s="241"/>
      <c r="Q34" s="245"/>
      <c r="R34" s="245"/>
      <c r="S34" s="361" t="s">
        <v>648</v>
      </c>
      <c r="T34" s="362"/>
      <c r="U34" s="362"/>
      <c r="V34" s="363"/>
      <c r="W34" s="235">
        <f>V28</f>
        <v>5</v>
      </c>
      <c r="X34" s="250"/>
      <c r="Y34" s="241"/>
      <c r="Z34" s="241"/>
      <c r="AK34" s="351" t="s">
        <v>32</v>
      </c>
      <c r="AL34" s="352"/>
      <c r="AM34" s="352"/>
      <c r="AN34" s="352"/>
      <c r="AO34" s="352"/>
      <c r="AP34" s="352"/>
      <c r="AQ34" s="352"/>
      <c r="AR34" s="352"/>
      <c r="AS34" s="352"/>
      <c r="AT34" s="353"/>
      <c r="AU34" s="234"/>
      <c r="AV34" s="227"/>
      <c r="AW34" s="227"/>
      <c r="AX34" s="227"/>
      <c r="AY34" s="230"/>
      <c r="AZ34" s="230"/>
    </row>
    <row r="35" spans="1:57" x14ac:dyDescent="0.2">
      <c r="A35" s="357"/>
      <c r="B35" s="357"/>
      <c r="C35" s="357"/>
      <c r="D35" s="357"/>
      <c r="E35" s="357"/>
      <c r="F35" s="244"/>
      <c r="O35" s="241"/>
      <c r="P35" s="241"/>
      <c r="U35" s="252"/>
      <c r="V35" s="241"/>
      <c r="W35" s="241"/>
      <c r="X35" s="278"/>
      <c r="Y35" s="241"/>
      <c r="Z35" s="241"/>
      <c r="AJ35" s="246"/>
      <c r="AK35" s="354">
        <f>AK31+AK33</f>
        <v>114.76854619419998</v>
      </c>
      <c r="AL35" s="355"/>
      <c r="AM35" s="355"/>
      <c r="AN35" s="355"/>
      <c r="AO35" s="355"/>
      <c r="AP35" s="355"/>
      <c r="AQ35" s="355"/>
      <c r="AR35" s="355"/>
      <c r="AS35" s="355"/>
      <c r="AT35" s="356"/>
      <c r="AU35" s="237"/>
      <c r="AV35" s="237"/>
      <c r="AW35" s="237"/>
      <c r="AX35" s="237"/>
      <c r="AY35" s="248"/>
      <c r="AZ35" s="248"/>
      <c r="BC35" s="194"/>
      <c r="BD35" s="194"/>
      <c r="BE35" s="194"/>
    </row>
    <row r="36" spans="1:57" x14ac:dyDescent="0.2">
      <c r="O36" s="241"/>
      <c r="P36" s="241"/>
      <c r="Q36" s="251"/>
      <c r="R36" s="251"/>
      <c r="U36" s="252"/>
      <c r="V36" s="241"/>
      <c r="W36" s="241"/>
      <c r="X36" s="278"/>
      <c r="Y36" s="241"/>
      <c r="Z36" s="241"/>
      <c r="AK36" s="351" t="s">
        <v>165</v>
      </c>
      <c r="AL36" s="352"/>
      <c r="AM36" s="352"/>
      <c r="AN36" s="352"/>
      <c r="AO36" s="352"/>
      <c r="AP36" s="352"/>
      <c r="AQ36" s="352"/>
      <c r="AR36" s="352"/>
      <c r="AS36" s="352"/>
      <c r="AT36" s="353"/>
      <c r="AU36" s="234"/>
      <c r="AV36" s="227"/>
      <c r="AW36" s="227"/>
      <c r="AX36" s="227"/>
      <c r="AY36" s="230"/>
      <c r="AZ36" s="230"/>
    </row>
    <row r="37" spans="1:57" x14ac:dyDescent="0.2">
      <c r="G37" s="241"/>
      <c r="H37" s="241"/>
      <c r="O37" s="241"/>
      <c r="P37" s="241"/>
      <c r="S37" s="241"/>
      <c r="T37" s="241"/>
      <c r="U37" s="241"/>
      <c r="V37" s="241"/>
      <c r="W37" s="241"/>
      <c r="X37" s="278"/>
      <c r="Y37" s="241"/>
      <c r="Z37" s="241"/>
      <c r="AK37" s="358">
        <f>AK31*3*1.3</f>
        <v>231.63169921787997</v>
      </c>
      <c r="AL37" s="359"/>
      <c r="AM37" s="359"/>
      <c r="AN37" s="359"/>
      <c r="AO37" s="359"/>
      <c r="AP37" s="359"/>
      <c r="AQ37" s="359"/>
      <c r="AR37" s="359"/>
      <c r="AS37" s="359"/>
      <c r="AT37" s="360"/>
      <c r="AU37" s="247"/>
      <c r="AV37" s="237"/>
      <c r="AW37" s="237"/>
      <c r="AX37" s="237"/>
      <c r="AY37" s="248"/>
      <c r="AZ37" s="248"/>
    </row>
    <row r="38" spans="1:57" x14ac:dyDescent="0.2">
      <c r="G38" s="241"/>
      <c r="O38" s="255"/>
      <c r="P38" s="255"/>
      <c r="S38" s="241"/>
      <c r="T38" s="241"/>
      <c r="U38" s="241"/>
      <c r="V38" s="241"/>
      <c r="W38" s="241"/>
      <c r="X38" s="241"/>
      <c r="Y38" s="241"/>
      <c r="Z38" s="241"/>
      <c r="AK38" s="351" t="s">
        <v>650</v>
      </c>
      <c r="AL38" s="352"/>
      <c r="AM38" s="352"/>
      <c r="AN38" s="352"/>
      <c r="AO38" s="352"/>
      <c r="AP38" s="352"/>
      <c r="AQ38" s="352"/>
      <c r="AR38" s="352"/>
      <c r="AS38" s="352"/>
      <c r="AT38" s="353"/>
      <c r="AU38" s="234"/>
      <c r="AV38" s="227"/>
      <c r="AW38" s="227"/>
      <c r="AX38" s="227"/>
      <c r="AY38" s="230"/>
      <c r="AZ38" s="230"/>
      <c r="BA38" s="253"/>
    </row>
    <row r="39" spans="1:57" x14ac:dyDescent="0.2">
      <c r="O39" s="255"/>
      <c r="P39" s="255"/>
      <c r="S39" s="241"/>
      <c r="T39" s="241"/>
      <c r="U39" s="241"/>
      <c r="V39" s="241"/>
      <c r="W39" s="241"/>
      <c r="X39" s="241"/>
      <c r="Y39" s="241"/>
      <c r="Z39" s="241"/>
      <c r="AK39" s="358">
        <f>AK33*3*1.3</f>
        <v>215.96563093949999</v>
      </c>
      <c r="AL39" s="359"/>
      <c r="AM39" s="359"/>
      <c r="AN39" s="359"/>
      <c r="AO39" s="359"/>
      <c r="AP39" s="359"/>
      <c r="AQ39" s="359"/>
      <c r="AR39" s="359"/>
      <c r="AS39" s="359"/>
      <c r="AT39" s="360"/>
      <c r="AU39" s="254"/>
      <c r="AV39" s="237"/>
      <c r="AW39" s="237"/>
      <c r="AX39" s="237"/>
      <c r="AY39" s="248"/>
      <c r="AZ39" s="248"/>
      <c r="BA39" s="194"/>
    </row>
    <row r="40" spans="1:57" x14ac:dyDescent="0.2">
      <c r="O40" s="255"/>
      <c r="P40" s="255"/>
      <c r="Q40" s="241"/>
      <c r="R40" s="241"/>
      <c r="S40" s="241"/>
      <c r="T40" s="241"/>
      <c r="U40" s="241"/>
      <c r="V40" s="241"/>
      <c r="W40" s="241"/>
      <c r="X40" s="241"/>
      <c r="Y40" s="241"/>
      <c r="Z40" s="241"/>
      <c r="AK40" s="351" t="s">
        <v>33</v>
      </c>
      <c r="AL40" s="352"/>
      <c r="AM40" s="352"/>
      <c r="AN40" s="352"/>
      <c r="AO40" s="352"/>
      <c r="AP40" s="352"/>
      <c r="AQ40" s="352"/>
      <c r="AR40" s="352"/>
      <c r="AS40" s="352"/>
      <c r="AT40" s="353"/>
      <c r="AU40" s="227"/>
      <c r="AV40" s="227"/>
      <c r="AW40" s="227"/>
      <c r="AX40" s="227"/>
      <c r="AY40" s="230"/>
      <c r="AZ40" s="230"/>
    </row>
    <row r="41" spans="1:57" x14ac:dyDescent="0.2">
      <c r="O41" s="255"/>
      <c r="P41" s="255"/>
      <c r="Q41" s="241"/>
      <c r="R41" s="241"/>
      <c r="S41" s="241"/>
      <c r="T41" s="241"/>
      <c r="U41" s="241"/>
      <c r="X41" s="241"/>
      <c r="Y41" s="241"/>
      <c r="Z41" s="241"/>
      <c r="AK41" s="354">
        <f>AM28+AN28+AP28+AQ28+AS28+AU28+AW28+AY28+AZ28</f>
        <v>82.603927553999995</v>
      </c>
      <c r="AL41" s="355"/>
      <c r="AM41" s="355"/>
      <c r="AN41" s="355"/>
      <c r="AO41" s="355"/>
      <c r="AP41" s="355"/>
      <c r="AQ41" s="355"/>
      <c r="AR41" s="355"/>
      <c r="AS41" s="355"/>
      <c r="AT41" s="356"/>
      <c r="AU41" s="237"/>
      <c r="AV41" s="237"/>
      <c r="AW41" s="237"/>
      <c r="AX41" s="237"/>
      <c r="AY41" s="248"/>
      <c r="AZ41" s="248"/>
    </row>
    <row r="42" spans="1:57" x14ac:dyDescent="0.2">
      <c r="O42" s="255"/>
      <c r="P42" s="255"/>
      <c r="Q42" s="241"/>
      <c r="R42" s="241"/>
      <c r="S42" s="241"/>
      <c r="T42" s="241"/>
      <c r="U42" s="241"/>
      <c r="X42" s="241"/>
      <c r="Y42" s="241"/>
      <c r="Z42" s="241"/>
    </row>
    <row r="43" spans="1:57" x14ac:dyDescent="0.2">
      <c r="O43" s="255"/>
      <c r="P43" s="255"/>
      <c r="Q43" s="255"/>
      <c r="R43" s="252"/>
      <c r="S43" s="241"/>
      <c r="X43" s="241"/>
      <c r="Y43" s="241"/>
      <c r="Z43" s="241"/>
    </row>
    <row r="44" spans="1:57" x14ac:dyDescent="0.2">
      <c r="P44" s="241"/>
      <c r="Q44" s="255"/>
      <c r="R44" s="252"/>
      <c r="S44" s="241"/>
    </row>
    <row r="45" spans="1:57" x14ac:dyDescent="0.2">
      <c r="P45" s="241"/>
      <c r="Q45" s="255"/>
      <c r="R45" s="252"/>
      <c r="S45" s="241"/>
    </row>
    <row r="46" spans="1:57" x14ac:dyDescent="0.2">
      <c r="P46" s="241"/>
      <c r="Q46" s="255"/>
      <c r="R46" s="252"/>
      <c r="S46" s="241"/>
    </row>
    <row r="47" spans="1:57" x14ac:dyDescent="0.2">
      <c r="P47" s="241"/>
      <c r="Q47" s="255"/>
      <c r="R47" s="252"/>
      <c r="S47" s="241"/>
    </row>
    <row r="48" spans="1:57" x14ac:dyDescent="0.2">
      <c r="P48" s="241"/>
      <c r="Q48" s="255"/>
      <c r="R48" s="252"/>
      <c r="S48" s="241"/>
    </row>
    <row r="49" spans="16:18" x14ac:dyDescent="0.2">
      <c r="P49" s="241"/>
      <c r="Q49" s="241"/>
      <c r="R49" s="241"/>
    </row>
    <row r="50" spans="16:18" x14ac:dyDescent="0.2">
      <c r="P50" s="241"/>
      <c r="Q50" s="241"/>
      <c r="R50" s="241"/>
    </row>
    <row r="51" spans="16:18" x14ac:dyDescent="0.2">
      <c r="Q51" s="241"/>
      <c r="R51" s="241"/>
    </row>
    <row r="52" spans="16:18" x14ac:dyDescent="0.2">
      <c r="Q52" s="241"/>
      <c r="R52" s="241"/>
    </row>
    <row r="53" spans="16:18" x14ac:dyDescent="0.2">
      <c r="Q53" s="241"/>
      <c r="R53" s="241"/>
    </row>
    <row r="54" spans="16:18" x14ac:dyDescent="0.2">
      <c r="Q54" s="241"/>
      <c r="R54" s="241"/>
    </row>
    <row r="55" spans="16:18" x14ac:dyDescent="0.2">
      <c r="Q55" s="241"/>
      <c r="R55" s="241"/>
    </row>
  </sheetData>
  <autoFilter ref="A4:BE26" xr:uid="{00000000-0009-0000-0000-000000000000}"/>
  <mergeCells count="72">
    <mergeCell ref="Q3:Q4"/>
    <mergeCell ref="A2:L2"/>
    <mergeCell ref="M2:N2"/>
    <mergeCell ref="O2:BE2"/>
    <mergeCell ref="A3:A4"/>
    <mergeCell ref="B3:E3"/>
    <mergeCell ref="F3:F4"/>
    <mergeCell ref="G3:H3"/>
    <mergeCell ref="I3:I4"/>
    <mergeCell ref="J3:J4"/>
    <mergeCell ref="K3:L3"/>
    <mergeCell ref="M3:M4"/>
    <mergeCell ref="N3:N4"/>
    <mergeCell ref="O3:O4"/>
    <mergeCell ref="P3:P4"/>
    <mergeCell ref="S3:S4"/>
    <mergeCell ref="T3:T4"/>
    <mergeCell ref="U3:U4"/>
    <mergeCell ref="V3:V4"/>
    <mergeCell ref="W3:W4"/>
    <mergeCell ref="AE29:AH29"/>
    <mergeCell ref="AL29:AX29"/>
    <mergeCell ref="AT3:AZ3"/>
    <mergeCell ref="BA3:BA4"/>
    <mergeCell ref="BB3:BB4"/>
    <mergeCell ref="AE3:AH3"/>
    <mergeCell ref="AI3:AI4"/>
    <mergeCell ref="AJ3:AJ4"/>
    <mergeCell ref="AK3:AK4"/>
    <mergeCell ref="AL3:AS3"/>
    <mergeCell ref="B4:C4"/>
    <mergeCell ref="D4:E4"/>
    <mergeCell ref="A27:BE27"/>
    <mergeCell ref="A28:E28"/>
    <mergeCell ref="AB28:AC28"/>
    <mergeCell ref="BC3:BC4"/>
    <mergeCell ref="BD3:BD4"/>
    <mergeCell ref="BE3:BE4"/>
    <mergeCell ref="AD3:AD4"/>
    <mergeCell ref="X3:X4"/>
    <mergeCell ref="Y3:Y4"/>
    <mergeCell ref="Z3:Z4"/>
    <mergeCell ref="AA3:AA4"/>
    <mergeCell ref="AB3:AB4"/>
    <mergeCell ref="AC3:AC4"/>
    <mergeCell ref="R3:R4"/>
    <mergeCell ref="A30:E30"/>
    <mergeCell ref="S30:V30"/>
    <mergeCell ref="AE30:AH30"/>
    <mergeCell ref="AK30:AT30"/>
    <mergeCell ref="A31:E31"/>
    <mergeCell ref="S31:V31"/>
    <mergeCell ref="AK31:AT31"/>
    <mergeCell ref="K30:N30"/>
    <mergeCell ref="K31:N31"/>
    <mergeCell ref="A33:E33"/>
    <mergeCell ref="AK34:AT34"/>
    <mergeCell ref="A32:E32"/>
    <mergeCell ref="S32:V32"/>
    <mergeCell ref="AK32:AT32"/>
    <mergeCell ref="S33:V33"/>
    <mergeCell ref="AK33:AT33"/>
    <mergeCell ref="AK40:AT40"/>
    <mergeCell ref="AK41:AT41"/>
    <mergeCell ref="A34:E34"/>
    <mergeCell ref="AK35:AT35"/>
    <mergeCell ref="A35:E35"/>
    <mergeCell ref="AK36:AT36"/>
    <mergeCell ref="AK38:AT38"/>
    <mergeCell ref="AK39:AT39"/>
    <mergeCell ref="S34:V34"/>
    <mergeCell ref="AK37:AT37"/>
  </mergeCells>
  <conditionalFormatting sqref="BC36:BE65532 AI29:AN29 AE1:AS1 BC1:BE1 BC3:BD4 AE3:AK4 AQ42:AS65531 AL42:AP65532 AE29:AE65532 AF31:AJ65532 BE3:BE26 AU30:AZ30 AE5:BD26 AK30:AK37 AK40:AK65531">
    <cfRule type="cellIs" dxfId="12" priority="2" stopIfTrue="1" operator="equal">
      <formula>0</formula>
    </cfRule>
  </conditionalFormatting>
  <conditionalFormatting sqref="W35:W1048576 W29 W1 W3:W26">
    <cfRule type="cellIs" dxfId="11" priority="3" stopIfTrue="1" operator="between">
      <formula>344</formula>
      <formula>1000</formula>
    </cfRule>
  </conditionalFormatting>
  <conditionalFormatting sqref="M28:M29 N2:O2 M32:M1048576 M1:M26">
    <cfRule type="cellIs" dxfId="10" priority="4" stopIfTrue="1" operator="between">
      <formula>3.99</formula>
      <formula>20</formula>
    </cfRule>
  </conditionalFormatting>
  <conditionalFormatting sqref="AC1:AD1 AC29:AD1048576 AC3:AD26">
    <cfRule type="cellIs" dxfId="9" priority="5" stopIfTrue="1" operator="equal">
      <formula>"PC"</formula>
    </cfRule>
  </conditionalFormatting>
  <conditionalFormatting sqref="AK38:AK39">
    <cfRule type="cellIs" dxfId="8" priority="1" stopIfTrue="1" operator="equal">
      <formula>0</formula>
    </cfRule>
  </conditionalFormatting>
  <printOptions horizontalCentered="1"/>
  <pageMargins left="0.19685039370078741" right="0.19685039370078741" top="0.78740157480314965" bottom="0.78740157480314965" header="0.51181102362204722" footer="0.51181102362204722"/>
  <pageSetup paperSize="9" scale="35" orientation="landscape" horizontalDpi="300" verticalDpi="300" r:id="rId1"/>
  <headerFooter alignWithMargins="0">
    <oddHeader xml:space="preserve">&amp;C
</oddHeader>
    <oddFooter>Página &amp;P de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F4BE99-FD36-441B-B721-01D989CBFB4F}">
  <sheetPr codeName="Planilha5"/>
  <dimension ref="A1:AO23"/>
  <sheetViews>
    <sheetView zoomScaleNormal="100" workbookViewId="0">
      <pane ySplit="4" topLeftCell="A5" activePane="bottomLeft" state="frozen"/>
      <selection activeCell="A3" sqref="A3:K3"/>
      <selection pane="bottomLeft"/>
    </sheetView>
  </sheetViews>
  <sheetFormatPr defaultRowHeight="12.75" x14ac:dyDescent="0.2"/>
  <cols>
    <col min="1" max="1" width="3" style="262" customWidth="1"/>
    <col min="2" max="2" width="8.7109375" style="262" customWidth="1"/>
    <col min="3" max="3" width="4.7109375" style="262" hidden="1" customWidth="1"/>
    <col min="4" max="4" width="8.7109375" style="262" hidden="1" customWidth="1"/>
    <col min="5" max="5" width="4.7109375" style="262" hidden="1" customWidth="1"/>
    <col min="6" max="6" width="8.7109375" style="262" hidden="1" customWidth="1"/>
    <col min="7" max="7" width="8.7109375" style="265" customWidth="1"/>
    <col min="8" max="8" width="6.7109375" style="265" customWidth="1"/>
    <col min="9" max="9" width="6.7109375" style="262" customWidth="1"/>
    <col min="10" max="10" width="8.7109375" style="262" customWidth="1"/>
    <col min="11" max="12" width="5.7109375" style="262" customWidth="1"/>
    <col min="13" max="14" width="8.7109375" style="262" customWidth="1"/>
    <col min="15" max="15" width="8.7109375" style="2" customWidth="1"/>
    <col min="16" max="16" width="5.7109375" style="262" customWidth="1"/>
    <col min="17" max="21" width="10.7109375" style="262" hidden="1" customWidth="1"/>
    <col min="22" max="24" width="10.7109375" style="262" customWidth="1"/>
    <col min="25" max="26" width="9.7109375" style="262" customWidth="1"/>
    <col min="27" max="29" width="9.7109375" style="262" hidden="1" customWidth="1"/>
    <col min="30" max="31" width="9.7109375" style="262" customWidth="1"/>
    <col min="32" max="35" width="9.7109375" style="262" hidden="1" customWidth="1"/>
    <col min="36" max="38" width="9.7109375" style="262" customWidth="1"/>
    <col min="39" max="40" width="9.7109375" style="262" hidden="1" customWidth="1"/>
    <col min="41" max="16384" width="9.140625" style="262"/>
  </cols>
  <sheetData>
    <row r="1" spans="1:41" x14ac:dyDescent="0.2">
      <c r="B1" s="264"/>
      <c r="C1" s="264"/>
      <c r="D1" s="264"/>
      <c r="E1" s="264"/>
      <c r="F1" s="264"/>
      <c r="G1" s="1"/>
      <c r="H1" s="1"/>
      <c r="I1" s="264"/>
    </row>
    <row r="2" spans="1:41" s="3" customFormat="1" ht="15" customHeight="1" x14ac:dyDescent="0.25">
      <c r="B2" s="338" t="s">
        <v>14</v>
      </c>
      <c r="C2" s="339"/>
      <c r="D2" s="339"/>
      <c r="E2" s="339"/>
      <c r="F2" s="339"/>
      <c r="G2" s="339"/>
      <c r="H2" s="339"/>
      <c r="I2" s="339"/>
      <c r="J2" s="340" t="s">
        <v>637</v>
      </c>
      <c r="K2" s="409"/>
      <c r="L2" s="341"/>
      <c r="M2" s="341"/>
      <c r="N2" s="341"/>
      <c r="O2" s="341"/>
      <c r="P2" s="341"/>
      <c r="Q2" s="341"/>
      <c r="R2" s="341"/>
      <c r="S2" s="341"/>
      <c r="T2" s="341"/>
      <c r="U2" s="341"/>
      <c r="V2" s="341"/>
      <c r="W2" s="341"/>
      <c r="X2" s="341"/>
      <c r="Y2" s="341"/>
      <c r="Z2" s="341"/>
      <c r="AA2" s="341"/>
      <c r="AB2" s="341"/>
      <c r="AC2" s="341"/>
      <c r="AD2" s="341"/>
      <c r="AE2" s="341"/>
      <c r="AF2" s="341"/>
      <c r="AG2" s="341"/>
      <c r="AH2" s="341"/>
      <c r="AI2" s="341"/>
      <c r="AJ2" s="341"/>
      <c r="AK2" s="341"/>
      <c r="AL2" s="341"/>
      <c r="AM2" s="341"/>
      <c r="AN2" s="342"/>
      <c r="AO2" s="4"/>
    </row>
    <row r="3" spans="1:41" ht="12.75" customHeight="1" x14ac:dyDescent="0.2">
      <c r="B3" s="343" t="s">
        <v>15</v>
      </c>
      <c r="C3" s="344" t="s">
        <v>16</v>
      </c>
      <c r="D3" s="344"/>
      <c r="E3" s="344"/>
      <c r="F3" s="344"/>
      <c r="G3" s="343" t="s">
        <v>17</v>
      </c>
      <c r="H3" s="343" t="s">
        <v>0</v>
      </c>
      <c r="I3" s="343"/>
      <c r="J3" s="334" t="s">
        <v>1</v>
      </c>
      <c r="K3" s="345" t="s">
        <v>2</v>
      </c>
      <c r="L3" s="345" t="s">
        <v>2</v>
      </c>
      <c r="M3" s="334" t="s">
        <v>639</v>
      </c>
      <c r="N3" s="334" t="s">
        <v>640</v>
      </c>
      <c r="O3" s="346" t="s">
        <v>18</v>
      </c>
      <c r="P3" s="332" t="s">
        <v>3</v>
      </c>
      <c r="Q3" s="332" t="s">
        <v>19</v>
      </c>
      <c r="R3" s="335" t="s">
        <v>20</v>
      </c>
      <c r="S3" s="336"/>
      <c r="T3" s="336"/>
      <c r="U3" s="337"/>
      <c r="V3" s="332" t="s">
        <v>21</v>
      </c>
      <c r="W3" s="332" t="s">
        <v>12</v>
      </c>
      <c r="X3" s="332" t="s">
        <v>13</v>
      </c>
      <c r="Y3" s="329" t="s">
        <v>22</v>
      </c>
      <c r="Z3" s="330"/>
      <c r="AA3" s="330"/>
      <c r="AB3" s="330"/>
      <c r="AC3" s="330"/>
      <c r="AD3" s="329" t="s">
        <v>23</v>
      </c>
      <c r="AE3" s="330"/>
      <c r="AF3" s="330"/>
      <c r="AG3" s="330"/>
      <c r="AH3" s="330"/>
      <c r="AI3" s="330"/>
      <c r="AJ3" s="331"/>
      <c r="AK3" s="332" t="s">
        <v>24</v>
      </c>
      <c r="AL3" s="334" t="s">
        <v>4</v>
      </c>
      <c r="AM3" s="334" t="s">
        <v>25</v>
      </c>
      <c r="AN3" s="334" t="s">
        <v>26</v>
      </c>
      <c r="AO3" s="5"/>
    </row>
    <row r="4" spans="1:41" ht="25.5" customHeight="1" x14ac:dyDescent="0.2">
      <c r="B4" s="343"/>
      <c r="C4" s="320" t="s">
        <v>5</v>
      </c>
      <c r="D4" s="321"/>
      <c r="E4" s="320" t="s">
        <v>6</v>
      </c>
      <c r="F4" s="321"/>
      <c r="G4" s="343"/>
      <c r="H4" s="267" t="s">
        <v>5</v>
      </c>
      <c r="I4" s="267" t="s">
        <v>6</v>
      </c>
      <c r="J4" s="334"/>
      <c r="K4" s="345"/>
      <c r="L4" s="345"/>
      <c r="M4" s="334"/>
      <c r="N4" s="334"/>
      <c r="O4" s="346"/>
      <c r="P4" s="333"/>
      <c r="Q4" s="333"/>
      <c r="R4" s="266" t="s">
        <v>7</v>
      </c>
      <c r="S4" s="266" t="s">
        <v>27</v>
      </c>
      <c r="T4" s="266" t="s">
        <v>10</v>
      </c>
      <c r="U4" s="266" t="s">
        <v>8</v>
      </c>
      <c r="V4" s="333"/>
      <c r="W4" s="333"/>
      <c r="X4" s="333"/>
      <c r="Y4" s="6" t="s">
        <v>166</v>
      </c>
      <c r="Z4" s="6" t="s">
        <v>167</v>
      </c>
      <c r="AA4" s="6" t="s">
        <v>168</v>
      </c>
      <c r="AB4" s="6" t="s">
        <v>169</v>
      </c>
      <c r="AC4" s="6" t="s">
        <v>28</v>
      </c>
      <c r="AD4" s="6" t="s">
        <v>166</v>
      </c>
      <c r="AE4" s="6" t="s">
        <v>167</v>
      </c>
      <c r="AF4" s="6" t="s">
        <v>168</v>
      </c>
      <c r="AG4" s="6" t="s">
        <v>169</v>
      </c>
      <c r="AH4" s="6" t="s">
        <v>191</v>
      </c>
      <c r="AI4" s="6" t="s">
        <v>192</v>
      </c>
      <c r="AJ4" s="6" t="s">
        <v>11</v>
      </c>
      <c r="AK4" s="333"/>
      <c r="AL4" s="334"/>
      <c r="AM4" s="334"/>
      <c r="AN4" s="334"/>
      <c r="AO4" s="7"/>
    </row>
    <row r="5" spans="1:41" s="18" customFormat="1" x14ac:dyDescent="0.2">
      <c r="A5" s="262"/>
      <c r="B5" s="8" t="s">
        <v>638</v>
      </c>
      <c r="C5" s="10"/>
      <c r="D5" s="9"/>
      <c r="E5" s="10"/>
      <c r="F5" s="9"/>
      <c r="G5" s="11">
        <v>41.26</v>
      </c>
      <c r="H5" s="12">
        <v>0.5</v>
      </c>
      <c r="I5" s="12">
        <v>0.5</v>
      </c>
      <c r="J5" s="13">
        <f t="shared" ref="J5:J7" si="0">IF(B5="","",(H5+I5)/2)</f>
        <v>0.5</v>
      </c>
      <c r="K5" s="14">
        <v>32</v>
      </c>
      <c r="L5" s="14">
        <v>60</v>
      </c>
      <c r="M5" s="15">
        <f>IF($L5="","",IF($L5=60,$G5,""))</f>
        <v>41.26</v>
      </c>
      <c r="N5" s="15">
        <f>IF($K5="","",IF($K5=32,$G5,""))*2</f>
        <v>82.52</v>
      </c>
      <c r="O5" s="16">
        <v>0.8</v>
      </c>
      <c r="P5" s="14" t="s">
        <v>134</v>
      </c>
      <c r="Q5" s="17"/>
      <c r="R5" s="13">
        <f>IF(P5="A",(G5*(O5+0.1)),0)</f>
        <v>0</v>
      </c>
      <c r="S5" s="13">
        <f>IF(P5="B",(G5*(O5+0.3)),0)</f>
        <v>0</v>
      </c>
      <c r="T5" s="13">
        <f>IF(P5="PC",(G5*(O5+0.15)),0)</f>
        <v>0</v>
      </c>
      <c r="U5" s="13">
        <f>IF(P5="C",(G5*O5),0)</f>
        <v>0</v>
      </c>
      <c r="V5" s="13">
        <f>IF(B5="","",(G5*J5*O5)*1.05)</f>
        <v>17.329200000000004</v>
      </c>
      <c r="W5" s="13">
        <f>V5*0.05</f>
        <v>0.86646000000000023</v>
      </c>
      <c r="X5" s="13">
        <f>V5*0.95</f>
        <v>16.462740000000004</v>
      </c>
      <c r="Y5" s="13">
        <f t="shared" ref="Y5:Y7" si="1">IF($J5&lt;=1.5,W5*0.95,0)</f>
        <v>0.82313700000000023</v>
      </c>
      <c r="Z5" s="13">
        <f t="shared" ref="Z5:Z7" si="2">IF($J5&lt;=1.5,W5*0.05,0)</f>
        <v>4.3323000000000014E-2</v>
      </c>
      <c r="AA5" s="13">
        <f t="shared" ref="AA5:AA7" si="3">IF(AND($J5&lt;=3,$J5&gt;1.5),W5*0.5,0)</f>
        <v>0</v>
      </c>
      <c r="AB5" s="13">
        <f t="shared" ref="AB5:AB7" si="4">IF(AND($J5&lt;=3,$J5&gt;1.5),W5*0.5,0)</f>
        <v>0</v>
      </c>
      <c r="AC5" s="13">
        <f t="shared" ref="AC5:AC7" si="5">IF(AND($J5&lt;=4.5,$J5&gt;3),W5*0.95,0)</f>
        <v>0</v>
      </c>
      <c r="AD5" s="13">
        <f>IF($J5&lt;=1.5,X5*0.94,0)</f>
        <v>15.474975600000002</v>
      </c>
      <c r="AE5" s="13">
        <f>IF($J5&lt;=1.5,X5*0.05,0)</f>
        <v>0.82313700000000023</v>
      </c>
      <c r="AF5" s="13">
        <f>IF(AND($J5&gt;1.5,$J5&lt;=3),X5*0.47,0)</f>
        <v>0</v>
      </c>
      <c r="AG5" s="13">
        <f>IF(AND($J5&gt;1.5,$J5&lt;=3),X5*0.5,0)</f>
        <v>0</v>
      </c>
      <c r="AH5" s="13">
        <f>IF(AND($J5&gt;3,$J5&lt;=4.5),X5*0.47,0)</f>
        <v>0</v>
      </c>
      <c r="AI5" s="13">
        <f>IF(AND($J5&gt;3,$J5&lt;=4.5),X5*0.5,0)</f>
        <v>0</v>
      </c>
      <c r="AJ5" s="13">
        <f>IF(B5="","",IF($J5&lt;=1.5,X5*0.01,X5*0.03))</f>
        <v>0.16462740000000003</v>
      </c>
      <c r="AK5" s="13">
        <f>IF(B5="","",G5*O5)</f>
        <v>33.008000000000003</v>
      </c>
      <c r="AL5" s="13">
        <f>IF(B5="","",V5)</f>
        <v>17.329200000000004</v>
      </c>
      <c r="AM5" s="13">
        <f>IF(B5="","",IF(J5&gt;=1.25,IF(J5&lt;=2,G5*J5*2,0),0))</f>
        <v>0</v>
      </c>
      <c r="AN5" s="13">
        <f>IF(B5="","",IF(J5&gt;2,G5*J5,0))</f>
        <v>0</v>
      </c>
    </row>
    <row r="6" spans="1:41" s="18" customFormat="1" x14ac:dyDescent="0.2">
      <c r="A6" s="262"/>
      <c r="B6" s="8" t="s">
        <v>638</v>
      </c>
      <c r="C6" s="10"/>
      <c r="D6" s="9"/>
      <c r="E6" s="10"/>
      <c r="F6" s="9"/>
      <c r="G6" s="11">
        <v>13.4</v>
      </c>
      <c r="H6" s="12">
        <v>0.5</v>
      </c>
      <c r="I6" s="12">
        <v>0.5</v>
      </c>
      <c r="J6" s="13">
        <f t="shared" si="0"/>
        <v>0.5</v>
      </c>
      <c r="K6" s="14">
        <v>32</v>
      </c>
      <c r="L6" s="14">
        <v>60</v>
      </c>
      <c r="M6" s="15">
        <f t="shared" ref="M6:M7" si="6">IF($L6="","",IF($L6=60,$G6,""))</f>
        <v>13.4</v>
      </c>
      <c r="N6" s="15">
        <f>IF($K6="","",IF($K6=32,$G6,""))*2</f>
        <v>26.8</v>
      </c>
      <c r="O6" s="16">
        <v>0.8</v>
      </c>
      <c r="P6" s="14" t="s">
        <v>134</v>
      </c>
      <c r="Q6" s="17"/>
      <c r="R6" s="13">
        <f>IF(P6="A",(G6*(O6+0.1)),0)</f>
        <v>0</v>
      </c>
      <c r="S6" s="13">
        <f>IF(P6="B",(G6*(O6+0.3)),0)</f>
        <v>0</v>
      </c>
      <c r="T6" s="13">
        <f>IF(P6="PC",(G6*(O6+0.15)),0)</f>
        <v>0</v>
      </c>
      <c r="U6" s="13">
        <f>IF(P6="C",(G6*O6),0)</f>
        <v>0</v>
      </c>
      <c r="V6" s="13">
        <f>IF(B6="","",(G6*J6*O6)*1.05)</f>
        <v>5.628000000000001</v>
      </c>
      <c r="W6" s="13">
        <f t="shared" ref="W6:W7" si="7">V6*0.05</f>
        <v>0.28140000000000004</v>
      </c>
      <c r="X6" s="13">
        <f t="shared" ref="X6:X7" si="8">V6*0.95</f>
        <v>5.3466000000000005</v>
      </c>
      <c r="Y6" s="13">
        <f t="shared" si="1"/>
        <v>0.26733000000000001</v>
      </c>
      <c r="Z6" s="13">
        <f t="shared" si="2"/>
        <v>1.4070000000000003E-2</v>
      </c>
      <c r="AA6" s="13">
        <f t="shared" si="3"/>
        <v>0</v>
      </c>
      <c r="AB6" s="13">
        <f t="shared" si="4"/>
        <v>0</v>
      </c>
      <c r="AC6" s="13">
        <f t="shared" si="5"/>
        <v>0</v>
      </c>
      <c r="AD6" s="13">
        <f t="shared" ref="AD6:AD7" si="9">IF($J6&lt;=1.5,X6*0.94,0)</f>
        <v>5.0258039999999999</v>
      </c>
      <c r="AE6" s="13">
        <f t="shared" ref="AE6:AE7" si="10">IF($J6&lt;=1.5,X6*0.05,0)</f>
        <v>0.26733000000000001</v>
      </c>
      <c r="AF6" s="13">
        <f t="shared" ref="AF6:AF7" si="11">IF(AND($J6&gt;1.5,$J6&lt;=3),X6*0.47,0)</f>
        <v>0</v>
      </c>
      <c r="AG6" s="13">
        <f t="shared" ref="AG6:AG7" si="12">IF(AND($J6&gt;1.5,$J6&lt;=4),X6*0.5,0)</f>
        <v>0</v>
      </c>
      <c r="AH6" s="13">
        <f t="shared" ref="AH6:AH7" si="13">IF(AND($J6&gt;3,$J6&lt;=4.5),X6*0.47,0)</f>
        <v>0</v>
      </c>
      <c r="AI6" s="13">
        <f t="shared" ref="AI6:AI7" si="14">IF(AND($J6&gt;3,$J6&lt;=4.5),X6*0.5,0)</f>
        <v>0</v>
      </c>
      <c r="AJ6" s="13">
        <f>IF(B6="","",IF($J6&lt;=1.5,X6*0.01,X6*0.03))</f>
        <v>5.3466000000000007E-2</v>
      </c>
      <c r="AK6" s="13">
        <f>IF(B6="","",G6*O6)</f>
        <v>10.72</v>
      </c>
      <c r="AL6" s="13">
        <f>IF(B6="","",V6)</f>
        <v>5.628000000000001</v>
      </c>
      <c r="AM6" s="13">
        <f>IF(B6="","",IF(J6&gt;=1.25,IF(J6&lt;=2,G6*J6*2,0),0))</f>
        <v>0</v>
      </c>
      <c r="AN6" s="13">
        <f>IF(B6="","",IF(J6&gt;2,G6*J6,0))</f>
        <v>0</v>
      </c>
    </row>
    <row r="7" spans="1:41" s="18" customFormat="1" x14ac:dyDescent="0.2">
      <c r="A7" s="262"/>
      <c r="B7" s="8" t="s">
        <v>638</v>
      </c>
      <c r="C7" s="10"/>
      <c r="D7" s="9"/>
      <c r="E7" s="10"/>
      <c r="F7" s="9"/>
      <c r="G7" s="11">
        <v>7.83</v>
      </c>
      <c r="H7" s="12">
        <v>0.5</v>
      </c>
      <c r="I7" s="12">
        <v>0.5</v>
      </c>
      <c r="J7" s="13">
        <f t="shared" si="0"/>
        <v>0.5</v>
      </c>
      <c r="K7" s="14">
        <v>32</v>
      </c>
      <c r="L7" s="14">
        <v>60</v>
      </c>
      <c r="M7" s="15">
        <f t="shared" si="6"/>
        <v>7.83</v>
      </c>
      <c r="N7" s="15">
        <f t="shared" ref="N7" si="15">IF($K7="","",IF($K7=32,$G7,""))</f>
        <v>7.83</v>
      </c>
      <c r="O7" s="16">
        <v>0.8</v>
      </c>
      <c r="P7" s="14" t="s">
        <v>134</v>
      </c>
      <c r="Q7" s="17"/>
      <c r="R7" s="13">
        <f>IF(P7="A",(G7*(O7+0.1)),0)</f>
        <v>0</v>
      </c>
      <c r="S7" s="13">
        <f>IF(P7="B",(G7*(O7+0.3)),0)</f>
        <v>0</v>
      </c>
      <c r="T7" s="13">
        <f>IF(P7="PC",(G7*(O7+0.15)),0)</f>
        <v>0</v>
      </c>
      <c r="U7" s="13">
        <f>IF(P7="C",(G7*O7),0)</f>
        <v>0</v>
      </c>
      <c r="V7" s="13">
        <f>IF(B7="","",(G7*J7*O7)*1.05)</f>
        <v>3.2886000000000002</v>
      </c>
      <c r="W7" s="13">
        <f t="shared" si="7"/>
        <v>0.16443000000000002</v>
      </c>
      <c r="X7" s="13">
        <f t="shared" si="8"/>
        <v>3.1241699999999999</v>
      </c>
      <c r="Y7" s="13">
        <f t="shared" si="1"/>
        <v>0.1562085</v>
      </c>
      <c r="Z7" s="13">
        <f t="shared" si="2"/>
        <v>8.2215000000000014E-3</v>
      </c>
      <c r="AA7" s="13">
        <f t="shared" si="3"/>
        <v>0</v>
      </c>
      <c r="AB7" s="13">
        <f t="shared" si="4"/>
        <v>0</v>
      </c>
      <c r="AC7" s="13">
        <f t="shared" si="5"/>
        <v>0</v>
      </c>
      <c r="AD7" s="13">
        <f t="shared" si="9"/>
        <v>2.9367197999999997</v>
      </c>
      <c r="AE7" s="13">
        <f t="shared" si="10"/>
        <v>0.1562085</v>
      </c>
      <c r="AF7" s="13">
        <f t="shared" si="11"/>
        <v>0</v>
      </c>
      <c r="AG7" s="13">
        <f t="shared" si="12"/>
        <v>0</v>
      </c>
      <c r="AH7" s="13">
        <f t="shared" si="13"/>
        <v>0</v>
      </c>
      <c r="AI7" s="13">
        <f t="shared" si="14"/>
        <v>0</v>
      </c>
      <c r="AJ7" s="13">
        <f>IF(B7="","",IF($J7&lt;=1.5,X7*0.01,X7*0.03))</f>
        <v>3.1241700000000001E-2</v>
      </c>
      <c r="AK7" s="13">
        <f>IF(B7="","",G7*O7)</f>
        <v>6.2640000000000002</v>
      </c>
      <c r="AL7" s="13">
        <f>IF(B7="","",V7)</f>
        <v>3.2886000000000002</v>
      </c>
      <c r="AM7" s="13">
        <f>IF(B7="","",IF(J7&gt;=1.25,IF(J7&lt;=2,G7*J7*2,0),0))</f>
        <v>0</v>
      </c>
      <c r="AN7" s="13">
        <f>IF(B7="","",IF(J7&gt;2,G7*J7,0))</f>
        <v>0</v>
      </c>
    </row>
    <row r="8" spans="1:41" x14ac:dyDescent="0.2">
      <c r="B8" s="322"/>
      <c r="C8" s="323"/>
      <c r="D8" s="323"/>
      <c r="E8" s="323"/>
      <c r="F8" s="323"/>
      <c r="G8" s="323"/>
      <c r="H8" s="323"/>
      <c r="I8" s="323"/>
      <c r="J8" s="323"/>
      <c r="K8" s="323"/>
      <c r="L8" s="323"/>
      <c r="M8" s="323"/>
      <c r="N8" s="323"/>
      <c r="O8" s="323"/>
      <c r="P8" s="323"/>
      <c r="Q8" s="323"/>
      <c r="R8" s="323"/>
      <c r="S8" s="323"/>
      <c r="T8" s="323"/>
      <c r="U8" s="323"/>
      <c r="V8" s="323"/>
      <c r="W8" s="323"/>
      <c r="X8" s="323"/>
      <c r="Y8" s="323"/>
      <c r="Z8" s="323"/>
      <c r="AA8" s="323"/>
      <c r="AB8" s="323"/>
      <c r="AC8" s="323"/>
      <c r="AD8" s="323"/>
      <c r="AE8" s="323"/>
      <c r="AF8" s="323"/>
      <c r="AG8" s="323"/>
      <c r="AH8" s="323"/>
      <c r="AI8" s="323"/>
      <c r="AJ8" s="323"/>
      <c r="AK8" s="323"/>
      <c r="AL8" s="323"/>
      <c r="AM8" s="323"/>
      <c r="AN8" s="324"/>
      <c r="AO8" s="20"/>
    </row>
    <row r="9" spans="1:41" s="265" customFormat="1" x14ac:dyDescent="0.2">
      <c r="B9" s="325" t="s">
        <v>9</v>
      </c>
      <c r="C9" s="326"/>
      <c r="D9" s="326"/>
      <c r="E9" s="326"/>
      <c r="F9" s="327"/>
      <c r="G9" s="261">
        <f>SUM(G5:G7)</f>
        <v>62.489999999999995</v>
      </c>
      <c r="H9" s="21"/>
      <c r="I9" s="22"/>
      <c r="J9" s="23"/>
      <c r="K9" s="21"/>
      <c r="L9" s="21"/>
      <c r="M9" s="261">
        <f>SUM(M5:M7)</f>
        <v>62.489999999999995</v>
      </c>
      <c r="N9" s="261">
        <f>SUM(N5:N7)</f>
        <v>117.14999999999999</v>
      </c>
      <c r="O9" s="22"/>
      <c r="P9" s="23"/>
      <c r="Q9" s="261">
        <f t="shared" ref="Q9:AL9" si="16">SUM(Q5:Q7)</f>
        <v>0</v>
      </c>
      <c r="R9" s="261">
        <f t="shared" si="16"/>
        <v>0</v>
      </c>
      <c r="S9" s="261">
        <f t="shared" si="16"/>
        <v>0</v>
      </c>
      <c r="T9" s="24">
        <f t="shared" si="16"/>
        <v>0</v>
      </c>
      <c r="U9" s="261">
        <f t="shared" si="16"/>
        <v>0</v>
      </c>
      <c r="V9" s="261">
        <f t="shared" si="16"/>
        <v>26.245800000000003</v>
      </c>
      <c r="W9" s="261">
        <f t="shared" si="16"/>
        <v>1.3122900000000004</v>
      </c>
      <c r="X9" s="261">
        <f t="shared" si="16"/>
        <v>24.933510000000005</v>
      </c>
      <c r="Y9" s="261">
        <f t="shared" si="16"/>
        <v>1.2466755000000003</v>
      </c>
      <c r="Z9" s="261">
        <f t="shared" si="16"/>
        <v>6.561450000000002E-2</v>
      </c>
      <c r="AA9" s="261">
        <f t="shared" si="16"/>
        <v>0</v>
      </c>
      <c r="AB9" s="261">
        <f t="shared" si="16"/>
        <v>0</v>
      </c>
      <c r="AC9" s="261">
        <f t="shared" si="16"/>
        <v>0</v>
      </c>
      <c r="AD9" s="261">
        <f t="shared" si="16"/>
        <v>23.4374994</v>
      </c>
      <c r="AE9" s="261">
        <f t="shared" si="16"/>
        <v>1.2466755000000003</v>
      </c>
      <c r="AF9" s="261">
        <f t="shared" si="16"/>
        <v>0</v>
      </c>
      <c r="AG9" s="261">
        <f t="shared" si="16"/>
        <v>0</v>
      </c>
      <c r="AH9" s="261">
        <f t="shared" si="16"/>
        <v>0</v>
      </c>
      <c r="AI9" s="261">
        <f t="shared" si="16"/>
        <v>0</v>
      </c>
      <c r="AJ9" s="261">
        <f t="shared" si="16"/>
        <v>0.24933510000000006</v>
      </c>
      <c r="AK9" s="261">
        <f t="shared" si="16"/>
        <v>49.992000000000004</v>
      </c>
      <c r="AL9" s="261">
        <f t="shared" si="16"/>
        <v>26.245800000000003</v>
      </c>
      <c r="AM9" s="261">
        <f>SUM(AM5:AM7)/5</f>
        <v>0</v>
      </c>
      <c r="AN9" s="261">
        <f>SUM(AN5:AN7)/5</f>
        <v>0</v>
      </c>
      <c r="AO9" s="25"/>
    </row>
    <row r="10" spans="1:41" x14ac:dyDescent="0.2">
      <c r="J10" s="263"/>
      <c r="Q10" s="263"/>
      <c r="R10" s="324" t="s">
        <v>29</v>
      </c>
      <c r="S10" s="309"/>
      <c r="T10" s="309"/>
      <c r="U10" s="322"/>
      <c r="V10" s="123"/>
      <c r="W10" s="265"/>
      <c r="X10" s="265"/>
      <c r="Y10" s="328"/>
      <c r="Z10" s="328"/>
      <c r="AA10" s="328"/>
      <c r="AB10" s="328"/>
      <c r="AC10" s="328"/>
      <c r="AD10" s="328"/>
      <c r="AE10" s="328"/>
      <c r="AF10" s="328"/>
      <c r="AG10" s="328"/>
      <c r="AH10" s="328"/>
      <c r="AI10" s="265"/>
      <c r="AJ10" s="265"/>
      <c r="AM10" s="26"/>
      <c r="AN10" s="26"/>
    </row>
    <row r="11" spans="1:41" x14ac:dyDescent="0.2">
      <c r="B11" s="268"/>
      <c r="G11" s="122"/>
      <c r="H11" s="122"/>
      <c r="I11" s="268"/>
      <c r="J11" s="268"/>
      <c r="K11" s="269"/>
      <c r="L11" s="2"/>
      <c r="R11" s="314">
        <f>(R9)*0.05</f>
        <v>0</v>
      </c>
      <c r="S11" s="314"/>
      <c r="T11" s="314"/>
      <c r="U11" s="315"/>
      <c r="V11" s="122"/>
      <c r="W11" s="265"/>
      <c r="X11" s="265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M11" s="26"/>
      <c r="AN11" s="26"/>
    </row>
    <row r="12" spans="1:41" x14ac:dyDescent="0.2">
      <c r="K12" s="268"/>
      <c r="Y12" s="309" t="s">
        <v>30</v>
      </c>
      <c r="Z12" s="309"/>
      <c r="AA12" s="309"/>
      <c r="AB12" s="309"/>
      <c r="AC12" s="309"/>
      <c r="AD12" s="309"/>
      <c r="AE12" s="309"/>
      <c r="AI12" s="265"/>
      <c r="AJ12" s="265"/>
    </row>
    <row r="13" spans="1:41" x14ac:dyDescent="0.2">
      <c r="Y13" s="310">
        <f>(Z9+AB9+AE9+AG9)*1.3</f>
        <v>1.7059770000000005</v>
      </c>
      <c r="Z13" s="310"/>
      <c r="AA13" s="310"/>
      <c r="AB13" s="310"/>
      <c r="AC13" s="310"/>
      <c r="AD13" s="310"/>
      <c r="AE13" s="310"/>
      <c r="AF13" s="2"/>
      <c r="AG13" s="2"/>
      <c r="AH13" s="2"/>
      <c r="AI13" s="30"/>
      <c r="AJ13" s="30"/>
      <c r="AM13" s="2"/>
      <c r="AN13" s="2"/>
    </row>
    <row r="14" spans="1:41" x14ac:dyDescent="0.2">
      <c r="Y14" s="309" t="s">
        <v>31</v>
      </c>
      <c r="Z14" s="309"/>
      <c r="AA14" s="309"/>
      <c r="AB14" s="309"/>
      <c r="AC14" s="309"/>
      <c r="AD14" s="309"/>
      <c r="AE14" s="309"/>
      <c r="AI14" s="265"/>
      <c r="AJ14" s="265"/>
    </row>
    <row r="15" spans="1:41" x14ac:dyDescent="0.2">
      <c r="H15" s="33"/>
      <c r="Y15" s="310">
        <f>(AJ9)*1.5</f>
        <v>0.3740026500000001</v>
      </c>
      <c r="Z15" s="310"/>
      <c r="AA15" s="310"/>
      <c r="AB15" s="310"/>
      <c r="AC15" s="310"/>
      <c r="AD15" s="310"/>
      <c r="AE15" s="310"/>
      <c r="AF15" s="2"/>
      <c r="AG15" s="2"/>
      <c r="AH15" s="2"/>
      <c r="AI15" s="30"/>
      <c r="AJ15" s="30"/>
      <c r="AM15" s="2"/>
      <c r="AN15" s="2"/>
    </row>
    <row r="16" spans="1:41" x14ac:dyDescent="0.2">
      <c r="H16" s="33"/>
      <c r="Y16" s="309" t="s">
        <v>32</v>
      </c>
      <c r="Z16" s="309"/>
      <c r="AA16" s="309"/>
      <c r="AB16" s="309"/>
      <c r="AC16" s="309"/>
      <c r="AD16" s="309"/>
      <c r="AE16" s="309"/>
      <c r="AI16" s="265"/>
      <c r="AJ16" s="265"/>
    </row>
    <row r="17" spans="25:37" x14ac:dyDescent="0.2">
      <c r="Y17" s="310">
        <f>Y13+Y15</f>
        <v>2.0799796500000007</v>
      </c>
      <c r="Z17" s="310"/>
      <c r="AA17" s="310"/>
      <c r="AB17" s="310"/>
      <c r="AC17" s="310"/>
      <c r="AD17" s="310"/>
      <c r="AE17" s="310"/>
      <c r="AF17" s="2"/>
      <c r="AG17" s="2"/>
      <c r="AH17" s="2"/>
      <c r="AI17" s="30"/>
      <c r="AJ17" s="30"/>
    </row>
    <row r="18" spans="25:37" x14ac:dyDescent="0.2">
      <c r="Y18" s="309" t="s">
        <v>165</v>
      </c>
      <c r="Z18" s="309"/>
      <c r="AA18" s="309"/>
      <c r="AB18" s="309"/>
      <c r="AC18" s="309"/>
      <c r="AD18" s="309"/>
      <c r="AE18" s="309"/>
      <c r="AI18" s="265"/>
      <c r="AJ18" s="265"/>
      <c r="AK18" s="29"/>
    </row>
    <row r="19" spans="25:37" x14ac:dyDescent="0.2">
      <c r="Y19" s="310">
        <f>Y13*3</f>
        <v>5.1179310000000013</v>
      </c>
      <c r="Z19" s="310"/>
      <c r="AA19" s="310"/>
      <c r="AB19" s="310"/>
      <c r="AC19" s="310"/>
      <c r="AD19" s="310"/>
      <c r="AE19" s="310"/>
      <c r="AF19" s="2"/>
      <c r="AG19" s="2"/>
      <c r="AH19" s="2"/>
      <c r="AI19" s="30"/>
      <c r="AJ19" s="30"/>
      <c r="AK19" s="2"/>
    </row>
    <row r="20" spans="25:37" x14ac:dyDescent="0.2">
      <c r="Y20" s="309" t="s">
        <v>170</v>
      </c>
      <c r="Z20" s="309"/>
      <c r="AA20" s="309"/>
      <c r="AB20" s="309"/>
      <c r="AC20" s="309"/>
      <c r="AD20" s="309"/>
      <c r="AE20" s="309"/>
      <c r="AF20" s="2"/>
      <c r="AG20" s="2"/>
      <c r="AH20" s="2"/>
      <c r="AI20" s="30"/>
      <c r="AJ20" s="30"/>
      <c r="AK20" s="2"/>
    </row>
    <row r="21" spans="25:37" x14ac:dyDescent="0.2">
      <c r="Y21" s="310">
        <f>Y15*3</f>
        <v>1.1220079500000004</v>
      </c>
      <c r="Z21" s="310"/>
      <c r="AA21" s="310"/>
      <c r="AB21" s="310"/>
      <c r="AC21" s="310"/>
      <c r="AD21" s="310"/>
      <c r="AE21" s="310"/>
      <c r="AF21" s="2"/>
      <c r="AG21" s="2"/>
      <c r="AH21" s="2"/>
      <c r="AI21" s="30"/>
      <c r="AJ21" s="30"/>
      <c r="AK21" s="2"/>
    </row>
    <row r="22" spans="25:37" x14ac:dyDescent="0.2">
      <c r="Y22" s="309" t="s">
        <v>33</v>
      </c>
      <c r="Z22" s="309"/>
      <c r="AA22" s="309"/>
      <c r="AB22" s="309"/>
      <c r="AC22" s="309"/>
      <c r="AD22" s="309"/>
      <c r="AE22" s="309"/>
      <c r="AI22" s="265"/>
      <c r="AJ22" s="265"/>
    </row>
    <row r="23" spans="25:37" x14ac:dyDescent="0.2">
      <c r="Y23" s="310">
        <f>Z9+AE9+AJ9+AB9+AG9</f>
        <v>1.5616251000000005</v>
      </c>
      <c r="Z23" s="310"/>
      <c r="AA23" s="310"/>
      <c r="AB23" s="310"/>
      <c r="AC23" s="310"/>
      <c r="AD23" s="310"/>
      <c r="AE23" s="310"/>
      <c r="AF23" s="2"/>
      <c r="AG23" s="2"/>
      <c r="AH23" s="2"/>
      <c r="AI23" s="30"/>
      <c r="AJ23" s="30"/>
    </row>
  </sheetData>
  <autoFilter ref="A4:AM7" xr:uid="{00000000-0009-0000-0000-000011000000}"/>
  <mergeCells count="43">
    <mergeCell ref="B2:I2"/>
    <mergeCell ref="J2:AN2"/>
    <mergeCell ref="B3:B4"/>
    <mergeCell ref="C3:F3"/>
    <mergeCell ref="G3:G4"/>
    <mergeCell ref="H3:I3"/>
    <mergeCell ref="J3:J4"/>
    <mergeCell ref="L3:L4"/>
    <mergeCell ref="M3:M4"/>
    <mergeCell ref="O3:O4"/>
    <mergeCell ref="AD3:AJ3"/>
    <mergeCell ref="AK3:AK4"/>
    <mergeCell ref="AL3:AL4"/>
    <mergeCell ref="AM3:AM4"/>
    <mergeCell ref="AN3:AN4"/>
    <mergeCell ref="C4:D4"/>
    <mergeCell ref="E4:F4"/>
    <mergeCell ref="B8:AN8"/>
    <mergeCell ref="B9:F9"/>
    <mergeCell ref="R10:U10"/>
    <mergeCell ref="Y10:AH10"/>
    <mergeCell ref="P3:P4"/>
    <mergeCell ref="Q3:Q4"/>
    <mergeCell ref="R3:U3"/>
    <mergeCell ref="V3:V4"/>
    <mergeCell ref="W3:W4"/>
    <mergeCell ref="X3:X4"/>
    <mergeCell ref="Y21:AE21"/>
    <mergeCell ref="Y22:AE22"/>
    <mergeCell ref="Y23:AE23"/>
    <mergeCell ref="K3:K4"/>
    <mergeCell ref="N3:N4"/>
    <mergeCell ref="Y15:AE15"/>
    <mergeCell ref="Y16:AE16"/>
    <mergeCell ref="Y17:AE17"/>
    <mergeCell ref="Y18:AE18"/>
    <mergeCell ref="Y19:AE19"/>
    <mergeCell ref="Y20:AE20"/>
    <mergeCell ref="R11:U11"/>
    <mergeCell ref="Y12:AE12"/>
    <mergeCell ref="Y13:AE13"/>
    <mergeCell ref="Y14:AE14"/>
    <mergeCell ref="Y3:AC3"/>
  </mergeCells>
  <conditionalFormatting sqref="AM9:AN9 Y12:Y19 Y10:Z11 S10:X10 AM16:AN65514 AM1:AN1 AM3:AN4 S12:X65514 R10:R65514 Y21:Y23 Y24:AC65514 R1:AC1 AA11:AJ11 R3:X7 AA5:AC7 AF5:AN7">
    <cfRule type="cellIs" dxfId="7" priority="9" stopIfTrue="1" operator="equal">
      <formula>0</formula>
    </cfRule>
  </conditionalFormatting>
  <conditionalFormatting sqref="L1 L9:L1048576 L3:L7">
    <cfRule type="cellIs" dxfId="6" priority="8" stopIfTrue="1" operator="between">
      <formula>344</formula>
      <formula>1000</formula>
    </cfRule>
  </conditionalFormatting>
  <conditionalFormatting sqref="J1:J7 J9:J1048576">
    <cfRule type="cellIs" dxfId="5" priority="7" stopIfTrue="1" operator="between">
      <formula>3.99</formula>
      <formula>20</formula>
    </cfRule>
  </conditionalFormatting>
  <conditionalFormatting sqref="P1:Q1 Q3 P3:P4 Q10:Q1048576 P9:P1048576 P5:Q7">
    <cfRule type="cellIs" dxfId="4" priority="6" stopIfTrue="1" operator="equal">
      <formula>"PC"</formula>
    </cfRule>
  </conditionalFormatting>
  <conditionalFormatting sqref="Y20">
    <cfRule type="cellIs" dxfId="3" priority="5" stopIfTrue="1" operator="equal">
      <formula>0</formula>
    </cfRule>
  </conditionalFormatting>
  <conditionalFormatting sqref="Y5:Z7">
    <cfRule type="cellIs" dxfId="2" priority="4" stopIfTrue="1" operator="equal">
      <formula>0</formula>
    </cfRule>
  </conditionalFormatting>
  <conditionalFormatting sqref="AD5:AE7">
    <cfRule type="cellIs" dxfId="1" priority="3" stopIfTrue="1" operator="equal">
      <formula>0</formula>
    </cfRule>
  </conditionalFormatting>
  <conditionalFormatting sqref="K1 K9:K1048576 K3:K7">
    <cfRule type="cellIs" dxfId="0" priority="1" stopIfTrue="1" operator="between">
      <formula>344</formula>
      <formula>1000</formula>
    </cfRule>
  </conditionalFormatting>
  <printOptions horizontalCentered="1"/>
  <pageMargins left="0.19685039370078741" right="0.19685039370078741" top="0.98425196850393704" bottom="0.98425196850393704" header="0.51181102362204722" footer="0.51181102362204722"/>
  <pageSetup paperSize="9" scale="60" orientation="landscape" horizontalDpi="300" verticalDpi="300" r:id="rId1"/>
  <headerFooter alignWithMargins="0">
    <oddHeader>&amp;L&amp;G&amp;R&amp;G</oddHead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C4CC08-B224-4479-8F8F-87C8848F2BAD}">
  <sheetPr codeName="Planilha8"/>
  <dimension ref="A1:H157"/>
  <sheetViews>
    <sheetView view="pageBreakPreview" zoomScaleSheetLayoutView="100" workbookViewId="0"/>
  </sheetViews>
  <sheetFormatPr defaultRowHeight="15" x14ac:dyDescent="0.25"/>
  <cols>
    <col min="1" max="1" width="15.28515625" style="73" customWidth="1"/>
    <col min="2" max="2" width="30.7109375" style="38" customWidth="1"/>
    <col min="3" max="3" width="36.7109375" style="38" customWidth="1"/>
    <col min="4" max="4" width="10.7109375" style="38" customWidth="1"/>
    <col min="5" max="5" width="7.7109375" style="38" customWidth="1"/>
    <col min="6" max="6" width="3.7109375" style="37" bestFit="1" customWidth="1"/>
    <col min="7" max="16384" width="9.140625" style="38"/>
  </cols>
  <sheetData>
    <row r="1" spans="1:7" x14ac:dyDescent="0.25">
      <c r="A1" s="34" t="s">
        <v>35</v>
      </c>
      <c r="B1" s="35"/>
      <c r="C1" s="36" t="s">
        <v>36</v>
      </c>
      <c r="D1" s="441" t="s">
        <v>37</v>
      </c>
      <c r="E1" s="442"/>
    </row>
    <row r="2" spans="1:7" s="39" customFormat="1" ht="24.75" customHeight="1" x14ac:dyDescent="0.2">
      <c r="A2" s="443" t="s">
        <v>57</v>
      </c>
      <c r="B2" s="444"/>
      <c r="C2" s="288" t="s">
        <v>744</v>
      </c>
      <c r="D2" s="445">
        <v>44424</v>
      </c>
      <c r="E2" s="446"/>
      <c r="F2" s="37"/>
    </row>
    <row r="3" spans="1:7" s="41" customFormat="1" x14ac:dyDescent="0.2">
      <c r="A3" s="410"/>
      <c r="B3" s="411"/>
      <c r="C3" s="411"/>
      <c r="D3" s="447"/>
      <c r="E3" s="448"/>
      <c r="F3" s="40"/>
    </row>
    <row r="4" spans="1:7" s="45" customFormat="1" ht="18" customHeight="1" x14ac:dyDescent="0.2">
      <c r="A4" s="449" t="s">
        <v>38</v>
      </c>
      <c r="B4" s="450"/>
      <c r="C4" s="450"/>
      <c r="D4" s="42" t="s">
        <v>39</v>
      </c>
      <c r="E4" s="43" t="s">
        <v>34</v>
      </c>
      <c r="F4" s="44"/>
    </row>
    <row r="5" spans="1:7" s="47" customFormat="1" ht="12.75" x14ac:dyDescent="0.2">
      <c r="A5" s="451"/>
      <c r="B5" s="452"/>
      <c r="C5" s="452"/>
      <c r="D5" s="74"/>
      <c r="E5" s="46"/>
      <c r="F5" s="40"/>
    </row>
    <row r="6" spans="1:7" s="51" customFormat="1" ht="16.5" customHeight="1" x14ac:dyDescent="0.2">
      <c r="A6" s="416" t="s">
        <v>40</v>
      </c>
      <c r="B6" s="417"/>
      <c r="C6" s="417"/>
      <c r="D6" s="75">
        <f>SUM(D7:D7)</f>
        <v>320</v>
      </c>
      <c r="E6" s="48" t="s">
        <v>41</v>
      </c>
      <c r="F6" s="49" t="s">
        <v>42</v>
      </c>
      <c r="G6" s="50" t="s">
        <v>43</v>
      </c>
    </row>
    <row r="7" spans="1:7" s="41" customFormat="1" ht="15.75" customHeight="1" x14ac:dyDescent="0.2">
      <c r="A7" s="52"/>
      <c r="B7" s="420" t="s">
        <v>81</v>
      </c>
      <c r="C7" s="421"/>
      <c r="D7" s="53">
        <v>320</v>
      </c>
      <c r="E7" s="46"/>
      <c r="F7" s="40"/>
      <c r="G7" s="54"/>
    </row>
    <row r="8" spans="1:7" s="41" customFormat="1" ht="15.75" customHeight="1" x14ac:dyDescent="0.2">
      <c r="A8" s="410"/>
      <c r="B8" s="411"/>
      <c r="C8" s="411"/>
      <c r="D8" s="411"/>
      <c r="E8" s="412"/>
      <c r="F8" s="40"/>
    </row>
    <row r="9" spans="1:7" s="51" customFormat="1" ht="16.5" customHeight="1" x14ac:dyDescent="0.2">
      <c r="A9" s="439" t="s">
        <v>44</v>
      </c>
      <c r="B9" s="440"/>
      <c r="C9" s="440"/>
      <c r="D9" s="76">
        <f>SUM(D10:D12)*1.05</f>
        <v>93.336206250000004</v>
      </c>
      <c r="E9" s="48" t="s">
        <v>45</v>
      </c>
      <c r="F9" s="49"/>
      <c r="G9" s="50" t="s">
        <v>43</v>
      </c>
    </row>
    <row r="10" spans="1:7" s="41" customFormat="1" ht="25.5" customHeight="1" x14ac:dyDescent="0.2">
      <c r="A10" s="106" t="s">
        <v>756</v>
      </c>
      <c r="B10" s="453" t="s">
        <v>755</v>
      </c>
      <c r="C10" s="454"/>
      <c r="D10" s="55">
        <f>((0.56*4.8) + (1.44*0.8))*11</f>
        <v>42.239999999999995</v>
      </c>
      <c r="E10" s="46"/>
      <c r="F10" s="40"/>
      <c r="G10" s="54"/>
    </row>
    <row r="11" spans="1:7" s="41" customFormat="1" ht="24" customHeight="1" x14ac:dyDescent="0.2">
      <c r="A11" s="106" t="s">
        <v>85</v>
      </c>
      <c r="B11" s="456" t="s">
        <v>754</v>
      </c>
      <c r="C11" s="457"/>
      <c r="D11" s="55">
        <f>((0.45*0.45*0.45) + (0.3*1.8))*5</f>
        <v>3.1556250000000001</v>
      </c>
      <c r="E11" s="56"/>
      <c r="F11" s="40"/>
      <c r="G11" s="54"/>
    </row>
    <row r="12" spans="1:7" s="41" customFormat="1" ht="15.75" customHeight="1" x14ac:dyDescent="0.2">
      <c r="A12" s="52" t="s">
        <v>83</v>
      </c>
      <c r="B12" s="455" t="s">
        <v>84</v>
      </c>
      <c r="C12" s="455"/>
      <c r="D12" s="105">
        <f>(4.91*2.25) + (3.65*8.89)</f>
        <v>43.496000000000002</v>
      </c>
      <c r="E12" s="46"/>
      <c r="F12" s="40"/>
      <c r="G12" s="54"/>
    </row>
    <row r="13" spans="1:7" s="41" customFormat="1" ht="15.75" customHeight="1" x14ac:dyDescent="0.2">
      <c r="A13" s="410"/>
      <c r="B13" s="411"/>
      <c r="C13" s="411"/>
      <c r="D13" s="411"/>
      <c r="E13" s="412"/>
      <c r="F13" s="40"/>
    </row>
    <row r="14" spans="1:7" s="51" customFormat="1" ht="16.5" customHeight="1" x14ac:dyDescent="0.2">
      <c r="A14" s="439" t="s">
        <v>46</v>
      </c>
      <c r="B14" s="440"/>
      <c r="C14" s="440"/>
      <c r="D14" s="76">
        <f>SUM(D15:D17)</f>
        <v>64.716499999999996</v>
      </c>
      <c r="E14" s="48" t="s">
        <v>45</v>
      </c>
      <c r="F14" s="49"/>
      <c r="G14" s="57"/>
    </row>
    <row r="15" spans="1:7" s="41" customFormat="1" ht="25.5" customHeight="1" x14ac:dyDescent="0.2">
      <c r="A15" s="106" t="s">
        <v>756</v>
      </c>
      <c r="B15" s="413" t="s">
        <v>757</v>
      </c>
      <c r="C15" s="415"/>
      <c r="D15" s="55">
        <f>(0.56*4.8)*11</f>
        <v>29.568000000000001</v>
      </c>
      <c r="E15" s="46"/>
      <c r="F15" s="40"/>
      <c r="G15" s="54"/>
    </row>
    <row r="16" spans="1:7" s="41" customFormat="1" ht="25.5" customHeight="1" x14ac:dyDescent="0.2">
      <c r="A16" s="106" t="s">
        <v>85</v>
      </c>
      <c r="B16" s="420" t="s">
        <v>124</v>
      </c>
      <c r="C16" s="421"/>
      <c r="D16" s="55">
        <f>(0.3*1.8)*5</f>
        <v>2.7</v>
      </c>
      <c r="E16" s="56"/>
      <c r="F16" s="40"/>
      <c r="G16" s="54"/>
    </row>
    <row r="17" spans="1:8" s="41" customFormat="1" ht="15.75" customHeight="1" x14ac:dyDescent="0.2">
      <c r="A17" s="52" t="s">
        <v>83</v>
      </c>
      <c r="B17" s="421" t="s">
        <v>86</v>
      </c>
      <c r="C17" s="421"/>
      <c r="D17" s="105">
        <f>(3.65*8.89)</f>
        <v>32.448500000000003</v>
      </c>
      <c r="E17" s="46"/>
      <c r="F17" s="40"/>
      <c r="G17" s="54"/>
    </row>
    <row r="18" spans="1:8" s="41" customFormat="1" ht="15.75" customHeight="1" x14ac:dyDescent="0.2">
      <c r="A18" s="410"/>
      <c r="B18" s="411"/>
      <c r="C18" s="411"/>
      <c r="D18" s="411"/>
      <c r="E18" s="412"/>
      <c r="F18" s="40"/>
    </row>
    <row r="19" spans="1:8" s="51" customFormat="1" ht="16.5" customHeight="1" x14ac:dyDescent="0.2">
      <c r="A19" s="439" t="s">
        <v>47</v>
      </c>
      <c r="B19" s="440"/>
      <c r="C19" s="440"/>
      <c r="D19" s="75">
        <f>SUM(D20:D20)</f>
        <v>320</v>
      </c>
      <c r="E19" s="48" t="s">
        <v>41</v>
      </c>
      <c r="F19" s="49" t="s">
        <v>42</v>
      </c>
    </row>
    <row r="20" spans="1:8" s="41" customFormat="1" x14ac:dyDescent="0.2">
      <c r="A20" s="52"/>
      <c r="B20" s="420" t="s">
        <v>81</v>
      </c>
      <c r="C20" s="421"/>
      <c r="D20" s="53">
        <f>16*20</f>
        <v>320</v>
      </c>
      <c r="E20" s="46"/>
      <c r="F20" s="40"/>
      <c r="G20" s="54"/>
    </row>
    <row r="21" spans="1:8" s="41" customFormat="1" ht="15.75" customHeight="1" x14ac:dyDescent="0.2">
      <c r="A21" s="410"/>
      <c r="B21" s="411"/>
      <c r="C21" s="411"/>
      <c r="D21" s="411"/>
      <c r="E21" s="412"/>
      <c r="F21" s="40"/>
    </row>
    <row r="22" spans="1:8" s="51" customFormat="1" ht="16.5" customHeight="1" x14ac:dyDescent="0.2">
      <c r="A22" s="416" t="s">
        <v>48</v>
      </c>
      <c r="B22" s="417"/>
      <c r="C22" s="417"/>
      <c r="D22" s="75">
        <f>SUM(D23:D23)</f>
        <v>37.20600000000001</v>
      </c>
      <c r="E22" s="48" t="s">
        <v>45</v>
      </c>
      <c r="F22" s="49"/>
    </row>
    <row r="23" spans="1:8" s="41" customFormat="1" ht="15" customHeight="1" x14ac:dyDescent="0.2">
      <c r="A23" s="106"/>
      <c r="B23" s="413" t="s">
        <v>758</v>
      </c>
      <c r="C23" s="415"/>
      <c r="D23" s="58">
        <f>(93.34-64.72)*1.3</f>
        <v>37.20600000000001</v>
      </c>
      <c r="E23" s="59"/>
      <c r="F23" s="40"/>
    </row>
    <row r="24" spans="1:8" s="41" customFormat="1" ht="15.75" customHeight="1" x14ac:dyDescent="0.2">
      <c r="A24" s="410"/>
      <c r="B24" s="411"/>
      <c r="C24" s="411"/>
      <c r="D24" s="411"/>
      <c r="E24" s="412"/>
      <c r="F24" s="40"/>
    </row>
    <row r="25" spans="1:8" s="51" customFormat="1" ht="16.5" customHeight="1" x14ac:dyDescent="0.2">
      <c r="A25" s="439" t="s">
        <v>49</v>
      </c>
      <c r="B25" s="440"/>
      <c r="C25" s="440"/>
      <c r="D25" s="76">
        <f>SUM(D26:D34)</f>
        <v>474.8125</v>
      </c>
      <c r="E25" s="48" t="s">
        <v>41</v>
      </c>
      <c r="F25" s="49"/>
      <c r="G25" s="111"/>
      <c r="H25" s="110"/>
    </row>
    <row r="26" spans="1:8" s="41" customFormat="1" ht="24" customHeight="1" x14ac:dyDescent="0.2">
      <c r="A26" s="52" t="s">
        <v>87</v>
      </c>
      <c r="B26" s="420" t="s">
        <v>768</v>
      </c>
      <c r="C26" s="421"/>
      <c r="D26" s="53">
        <f>((2.15+1.95+4.95)*4.5*2) + (5.95*3.2*3)</f>
        <v>138.57</v>
      </c>
      <c r="E26" s="46"/>
      <c r="F26" s="40"/>
      <c r="G26" s="109"/>
      <c r="H26" s="108"/>
    </row>
    <row r="27" spans="1:8" s="41" customFormat="1" ht="15" customHeight="1" x14ac:dyDescent="0.2">
      <c r="A27" s="52" t="s">
        <v>272</v>
      </c>
      <c r="B27" s="420" t="s">
        <v>669</v>
      </c>
      <c r="C27" s="431"/>
      <c r="D27" s="53">
        <f>(0.5*2*4.8) + (0.05*2*4.8) + (0.4*2*4.8)</f>
        <v>9.1199999999999992</v>
      </c>
      <c r="E27" s="46"/>
      <c r="F27" s="40"/>
      <c r="G27" s="109"/>
      <c r="H27" s="108"/>
    </row>
    <row r="28" spans="1:8" s="41" customFormat="1" ht="15" customHeight="1" x14ac:dyDescent="0.2">
      <c r="A28" s="52" t="s">
        <v>94</v>
      </c>
      <c r="B28" s="413" t="s">
        <v>762</v>
      </c>
      <c r="C28" s="415"/>
      <c r="D28" s="53">
        <f>(0.8*9.8*6) + (0.9*9.8*2) + (1*9.8) + (0.8*8.25) + (0.9*8.25)</f>
        <v>88.504999999999995</v>
      </c>
      <c r="E28" s="46"/>
      <c r="F28" s="40"/>
      <c r="G28" s="109"/>
      <c r="H28" s="108"/>
    </row>
    <row r="29" spans="1:8" s="41" customFormat="1" ht="15" customHeight="1" x14ac:dyDescent="0.2">
      <c r="A29" s="52" t="s">
        <v>119</v>
      </c>
      <c r="B29" s="413" t="s">
        <v>870</v>
      </c>
      <c r="C29" s="414"/>
      <c r="D29" s="53">
        <f>(1.5*4*0.6)*2</f>
        <v>7.1999999999999993</v>
      </c>
      <c r="E29" s="46"/>
      <c r="F29" s="40"/>
      <c r="G29" s="109"/>
      <c r="H29" s="108"/>
    </row>
    <row r="30" spans="1:8" s="41" customFormat="1" ht="24.75" customHeight="1" x14ac:dyDescent="0.2">
      <c r="A30" s="106" t="s">
        <v>756</v>
      </c>
      <c r="B30" s="413" t="s">
        <v>759</v>
      </c>
      <c r="C30" s="415"/>
      <c r="D30" s="55">
        <f>(0.8*4.8)*11</f>
        <v>42.239999999999995</v>
      </c>
      <c r="E30" s="46"/>
      <c r="F30" s="40"/>
      <c r="G30" s="109"/>
      <c r="H30" s="108"/>
    </row>
    <row r="31" spans="1:8" s="41" customFormat="1" ht="38.25" customHeight="1" x14ac:dyDescent="0.2">
      <c r="A31" s="106" t="s">
        <v>750</v>
      </c>
      <c r="B31" s="413" t="s">
        <v>764</v>
      </c>
      <c r="C31" s="415"/>
      <c r="D31" s="55">
        <f>(1.15*5.95*2) + (1.15*5.9*2) + (1.25*4.35) + (0.95*3.1*3) + (1.15*9.05) + (0.95*8.9*3) + (0.95*4.4*7) + (0.95*4.45*2) + (1.15*4.35*2) + (0.95*9.05) + (0.95*4.35) + (1.15*4.95) + (0.95*5.9)</f>
        <v>149.04749999999999</v>
      </c>
      <c r="E31" s="46"/>
      <c r="F31" s="40"/>
      <c r="G31" s="109"/>
      <c r="H31" s="108"/>
    </row>
    <row r="32" spans="1:8" s="41" customFormat="1" ht="15.75" customHeight="1" x14ac:dyDescent="0.2">
      <c r="A32" s="52" t="s">
        <v>82</v>
      </c>
      <c r="B32" s="420" t="s">
        <v>88</v>
      </c>
      <c r="C32" s="421"/>
      <c r="D32" s="53">
        <f>(0.25*1.8)*5</f>
        <v>2.25</v>
      </c>
      <c r="E32" s="46"/>
      <c r="F32" s="40"/>
      <c r="G32" s="54"/>
    </row>
    <row r="33" spans="1:7" s="41" customFormat="1" ht="15.75" customHeight="1" x14ac:dyDescent="0.2">
      <c r="A33" s="52" t="s">
        <v>83</v>
      </c>
      <c r="B33" s="420" t="s">
        <v>89</v>
      </c>
      <c r="C33" s="421"/>
      <c r="D33" s="53">
        <f>3.67 + (7.7*1.9) + (2.2*8.9)</f>
        <v>37.879999999999995</v>
      </c>
      <c r="E33" s="46"/>
      <c r="F33" s="40"/>
      <c r="G33" s="54"/>
    </row>
    <row r="34" spans="1:7" s="41" customFormat="1" ht="15.75" customHeight="1" x14ac:dyDescent="0.2">
      <c r="A34" s="104" t="s">
        <v>90</v>
      </c>
      <c r="B34" s="420" t="s">
        <v>91</v>
      </c>
      <c r="C34" s="431"/>
      <c r="D34" s="107"/>
      <c r="E34" s="56"/>
      <c r="F34" s="40"/>
      <c r="G34" s="54"/>
    </row>
    <row r="35" spans="1:7" s="41" customFormat="1" ht="15.75" customHeight="1" x14ac:dyDescent="0.2">
      <c r="A35" s="410"/>
      <c r="B35" s="411"/>
      <c r="C35" s="411"/>
      <c r="D35" s="411"/>
      <c r="E35" s="412"/>
      <c r="F35" s="40"/>
      <c r="G35" s="54"/>
    </row>
    <row r="36" spans="1:7" s="41" customFormat="1" ht="15.75" customHeight="1" x14ac:dyDescent="0.2">
      <c r="A36" s="439" t="s">
        <v>212</v>
      </c>
      <c r="B36" s="440"/>
      <c r="C36" s="440"/>
      <c r="D36" s="75">
        <f>SUM(D37:D37)</f>
        <v>0.26850000000000002</v>
      </c>
      <c r="E36" s="48" t="s">
        <v>45</v>
      </c>
      <c r="F36" s="40" t="s">
        <v>42</v>
      </c>
    </row>
    <row r="37" spans="1:7" s="51" customFormat="1" ht="16.5" customHeight="1" x14ac:dyDescent="0.2">
      <c r="A37" s="52" t="s">
        <v>83</v>
      </c>
      <c r="B37" s="420" t="s">
        <v>213</v>
      </c>
      <c r="C37" s="421"/>
      <c r="D37" s="53">
        <f>5.37*0.05</f>
        <v>0.26850000000000002</v>
      </c>
      <c r="E37" s="46"/>
      <c r="F37" s="49"/>
      <c r="G37" s="50"/>
    </row>
    <row r="38" spans="1:7" s="41" customFormat="1" x14ac:dyDescent="0.2">
      <c r="A38" s="410"/>
      <c r="B38" s="411"/>
      <c r="C38" s="411"/>
      <c r="D38" s="411"/>
      <c r="E38" s="412"/>
      <c r="F38" s="40"/>
      <c r="G38" s="54"/>
    </row>
    <row r="39" spans="1:7" s="41" customFormat="1" x14ac:dyDescent="0.2">
      <c r="A39" s="410"/>
      <c r="B39" s="411"/>
      <c r="C39" s="411"/>
      <c r="D39" s="411"/>
      <c r="E39" s="412"/>
      <c r="F39" s="40"/>
      <c r="G39" s="54"/>
    </row>
    <row r="40" spans="1:7" s="41" customFormat="1" ht="15.75" customHeight="1" x14ac:dyDescent="0.2">
      <c r="A40" s="439" t="s">
        <v>149</v>
      </c>
      <c r="B40" s="440"/>
      <c r="C40" s="440"/>
      <c r="D40" s="75">
        <f>SUM(D41:D49)</f>
        <v>59.279439999999994</v>
      </c>
      <c r="E40" s="48" t="s">
        <v>45</v>
      </c>
      <c r="F40" s="40"/>
    </row>
    <row r="41" spans="1:7" s="41" customFormat="1" x14ac:dyDescent="0.2">
      <c r="A41" s="52" t="s">
        <v>82</v>
      </c>
      <c r="B41" s="420" t="s">
        <v>100</v>
      </c>
      <c r="C41" s="421"/>
      <c r="D41" s="53">
        <f>(0.45*0.45*0.25)</f>
        <v>5.0625000000000003E-2</v>
      </c>
      <c r="E41" s="46"/>
      <c r="F41" s="40"/>
      <c r="G41" s="54"/>
    </row>
    <row r="42" spans="1:7" s="41" customFormat="1" x14ac:dyDescent="0.2">
      <c r="A42" s="52" t="s">
        <v>119</v>
      </c>
      <c r="B42" s="413" t="s">
        <v>869</v>
      </c>
      <c r="C42" s="414"/>
      <c r="D42" s="53">
        <f>(1.5*1.5*0.6)*2</f>
        <v>2.6999999999999997</v>
      </c>
      <c r="E42" s="46"/>
      <c r="F42" s="40"/>
      <c r="G42" s="54"/>
    </row>
    <row r="43" spans="1:7" s="41" customFormat="1" ht="15" customHeight="1" x14ac:dyDescent="0.2">
      <c r="A43" s="52" t="s">
        <v>87</v>
      </c>
      <c r="B43" s="420" t="s">
        <v>767</v>
      </c>
      <c r="C43" s="421"/>
      <c r="D43" s="53">
        <f>(1.13*4.5) + (1.89*4.5) + (0.7142*3.2) + (1.19*3.2*2)</f>
        <v>23.491439999999997</v>
      </c>
      <c r="E43" s="46"/>
      <c r="F43" s="40"/>
      <c r="G43" s="54"/>
    </row>
    <row r="44" spans="1:7" s="41" customFormat="1" ht="15" customHeight="1" x14ac:dyDescent="0.2">
      <c r="A44" s="52" t="s">
        <v>272</v>
      </c>
      <c r="B44" s="420" t="s">
        <v>670</v>
      </c>
      <c r="C44" s="431"/>
      <c r="D44" s="53">
        <f>(0.26*4.8)</f>
        <v>1.248</v>
      </c>
      <c r="E44" s="46"/>
      <c r="F44" s="40"/>
      <c r="G44" s="54"/>
    </row>
    <row r="45" spans="1:7" s="41" customFormat="1" x14ac:dyDescent="0.2">
      <c r="A45" s="52" t="s">
        <v>94</v>
      </c>
      <c r="B45" s="413" t="s">
        <v>763</v>
      </c>
      <c r="C45" s="415"/>
      <c r="D45" s="53">
        <f>(0.04*9.8*6) + (0.05*9.8*2) + (0.0625*9.8) + (0.04*8.25) + (0.05*8.25)</f>
        <v>4.6870000000000003</v>
      </c>
      <c r="E45" s="46"/>
      <c r="F45" s="40"/>
      <c r="G45" s="54"/>
    </row>
    <row r="46" spans="1:7" s="41" customFormat="1" ht="24" x14ac:dyDescent="0.2">
      <c r="A46" s="106" t="s">
        <v>756</v>
      </c>
      <c r="B46" s="413" t="s">
        <v>760</v>
      </c>
      <c r="C46" s="415"/>
      <c r="D46" s="55">
        <f>(0.8*1.44)*11</f>
        <v>12.671999999999999</v>
      </c>
      <c r="E46" s="46"/>
      <c r="F46" s="40"/>
      <c r="G46" s="54"/>
    </row>
    <row r="47" spans="1:7" s="41" customFormat="1" ht="36.75" customHeight="1" x14ac:dyDescent="0.2">
      <c r="A47" s="106" t="s">
        <v>750</v>
      </c>
      <c r="B47" s="413" t="s">
        <v>766</v>
      </c>
      <c r="C47" s="415"/>
      <c r="D47" s="55">
        <f>(0.075*5.95*2) + (0.075*5.9*2) + (0.0825*4.35) + (0.06*3.1*3) + (0.075*9.05) + (0.06*8.9*3) + (0.06*4.4*7) + (0.06*4.45*2) + (0.075*4.35*2) + (0.06*9.05) + (0.06*4.35) + (0.075*4.95) + (0.06*5.9)</f>
        <v>9.5388749999999973</v>
      </c>
      <c r="E47" s="46"/>
      <c r="F47" s="40"/>
      <c r="G47" s="54"/>
    </row>
    <row r="48" spans="1:7" s="41" customFormat="1" x14ac:dyDescent="0.2">
      <c r="A48" s="52" t="s">
        <v>83</v>
      </c>
      <c r="B48" s="420" t="s">
        <v>125</v>
      </c>
      <c r="C48" s="421"/>
      <c r="D48" s="53">
        <f>(1.245*1.9) + (4.9*0.15*2)</f>
        <v>3.8354999999999997</v>
      </c>
      <c r="E48" s="46"/>
      <c r="F48" s="40"/>
      <c r="G48" s="54"/>
    </row>
    <row r="49" spans="1:7" s="41" customFormat="1" x14ac:dyDescent="0.2">
      <c r="A49" s="52" t="s">
        <v>90</v>
      </c>
      <c r="B49" s="420" t="s">
        <v>93</v>
      </c>
      <c r="C49" s="421"/>
      <c r="D49" s="53">
        <f>(10.56*0.1)</f>
        <v>1.056</v>
      </c>
      <c r="E49" s="46"/>
      <c r="F49" s="40"/>
      <c r="G49" s="54"/>
    </row>
    <row r="50" spans="1:7" s="41" customFormat="1" ht="15.75" customHeight="1" x14ac:dyDescent="0.2">
      <c r="A50" s="410"/>
      <c r="B50" s="411"/>
      <c r="C50" s="411"/>
      <c r="D50" s="411"/>
      <c r="E50" s="412"/>
      <c r="F50" s="40"/>
      <c r="G50" s="54"/>
    </row>
    <row r="51" spans="1:7" s="41" customFormat="1" ht="15.75" customHeight="1" x14ac:dyDescent="0.2">
      <c r="A51" s="416" t="s">
        <v>745</v>
      </c>
      <c r="B51" s="417"/>
      <c r="C51" s="417"/>
      <c r="D51" s="76">
        <f>SUM(D52:D60)</f>
        <v>3690.39</v>
      </c>
      <c r="E51" s="48" t="s">
        <v>51</v>
      </c>
      <c r="F51" s="40"/>
      <c r="G51" s="54"/>
    </row>
    <row r="52" spans="1:7" s="41" customFormat="1" ht="15.75" customHeight="1" x14ac:dyDescent="0.2">
      <c r="A52" s="52" t="s">
        <v>82</v>
      </c>
      <c r="B52" s="413" t="s">
        <v>743</v>
      </c>
      <c r="C52" s="415"/>
      <c r="D52" s="61">
        <f>(0.05*50)</f>
        <v>2.5</v>
      </c>
      <c r="E52" s="59"/>
      <c r="F52" s="40"/>
      <c r="G52" s="54"/>
    </row>
    <row r="53" spans="1:7" s="41" customFormat="1" ht="15.75" customHeight="1" x14ac:dyDescent="0.2">
      <c r="A53" s="52" t="s">
        <v>119</v>
      </c>
      <c r="B53" s="413">
        <v>50.45</v>
      </c>
      <c r="C53" s="415"/>
      <c r="D53" s="61">
        <f>3.14*50</f>
        <v>157</v>
      </c>
      <c r="E53" s="289"/>
      <c r="F53" s="40"/>
      <c r="G53" s="54"/>
    </row>
    <row r="54" spans="1:7" s="41" customFormat="1" ht="15.75" customHeight="1" x14ac:dyDescent="0.2">
      <c r="A54" s="52" t="s">
        <v>87</v>
      </c>
      <c r="B54" s="413" t="s">
        <v>753</v>
      </c>
      <c r="C54" s="415"/>
      <c r="D54" s="61">
        <f>253+222+621.46+147+356</f>
        <v>1599.46</v>
      </c>
      <c r="E54" s="289"/>
      <c r="F54" s="40"/>
      <c r="G54" s="54"/>
    </row>
    <row r="55" spans="1:7" s="41" customFormat="1" ht="24.75" customHeight="1" x14ac:dyDescent="0.2">
      <c r="A55" s="106" t="s">
        <v>756</v>
      </c>
      <c r="B55" s="413">
        <v>259</v>
      </c>
      <c r="C55" s="414"/>
      <c r="D55" s="61">
        <f>259</f>
        <v>259</v>
      </c>
      <c r="E55" s="289"/>
      <c r="F55" s="40"/>
      <c r="G55" s="54"/>
    </row>
    <row r="56" spans="1:7" s="41" customFormat="1" ht="15" customHeight="1" x14ac:dyDescent="0.2">
      <c r="A56" s="106" t="s">
        <v>747</v>
      </c>
      <c r="B56" s="413">
        <v>180.02</v>
      </c>
      <c r="C56" s="414"/>
      <c r="D56" s="61">
        <f>180.02</f>
        <v>180.02</v>
      </c>
      <c r="E56" s="289"/>
      <c r="F56" s="40"/>
      <c r="G56" s="54"/>
    </row>
    <row r="57" spans="1:7" s="41" customFormat="1" ht="15.75" customHeight="1" x14ac:dyDescent="0.2">
      <c r="A57" s="52" t="s">
        <v>94</v>
      </c>
      <c r="B57" s="413" t="s">
        <v>749</v>
      </c>
      <c r="C57" s="415"/>
      <c r="D57" s="61">
        <f>205+289</f>
        <v>494</v>
      </c>
      <c r="E57" s="59"/>
      <c r="F57" s="40"/>
      <c r="G57" s="54"/>
    </row>
    <row r="58" spans="1:7" s="41" customFormat="1" ht="15.75" customHeight="1" x14ac:dyDescent="0.2">
      <c r="A58" s="52" t="s">
        <v>750</v>
      </c>
      <c r="B58" s="413" t="s">
        <v>752</v>
      </c>
      <c r="C58" s="415"/>
      <c r="D58" s="61">
        <f>184+137+160+53+73</f>
        <v>607</v>
      </c>
      <c r="E58" s="59"/>
      <c r="F58" s="40"/>
      <c r="G58" s="54"/>
    </row>
    <row r="59" spans="1:7" s="41" customFormat="1" ht="15.75" customHeight="1" x14ac:dyDescent="0.2">
      <c r="A59" s="52" t="s">
        <v>83</v>
      </c>
      <c r="B59" s="413">
        <v>288.52</v>
      </c>
      <c r="C59" s="415"/>
      <c r="D59" s="61">
        <f>288.52</f>
        <v>288.52</v>
      </c>
      <c r="E59" s="59"/>
      <c r="F59" s="40"/>
      <c r="G59" s="54"/>
    </row>
    <row r="60" spans="1:7" s="41" customFormat="1" ht="15.75" customHeight="1" x14ac:dyDescent="0.2">
      <c r="A60" s="52" t="s">
        <v>90</v>
      </c>
      <c r="B60" s="413">
        <v>102.89</v>
      </c>
      <c r="C60" s="415"/>
      <c r="D60" s="53">
        <f>102.89</f>
        <v>102.89</v>
      </c>
      <c r="E60" s="46"/>
      <c r="F60" s="40"/>
      <c r="G60" s="54"/>
    </row>
    <row r="61" spans="1:7" s="41" customFormat="1" ht="15.75" customHeight="1" x14ac:dyDescent="0.2">
      <c r="A61" s="410"/>
      <c r="B61" s="411"/>
      <c r="C61" s="411"/>
      <c r="D61" s="411"/>
      <c r="E61" s="412"/>
      <c r="F61" s="40"/>
      <c r="G61" s="54"/>
    </row>
    <row r="62" spans="1:7" s="41" customFormat="1" ht="15.75" customHeight="1" x14ac:dyDescent="0.2">
      <c r="A62" s="416" t="s">
        <v>746</v>
      </c>
      <c r="B62" s="417"/>
      <c r="C62" s="417"/>
      <c r="D62" s="76">
        <f>SUM(D63:D70)</f>
        <v>379.38999999999993</v>
      </c>
      <c r="E62" s="48" t="s">
        <v>51</v>
      </c>
      <c r="F62" s="40"/>
    </row>
    <row r="63" spans="1:7" s="51" customFormat="1" ht="16.5" customHeight="1" x14ac:dyDescent="0.2">
      <c r="A63" s="52" t="s">
        <v>82</v>
      </c>
      <c r="B63" s="413" t="s">
        <v>743</v>
      </c>
      <c r="C63" s="415"/>
      <c r="D63" s="61">
        <f>(0.05*50)</f>
        <v>2.5</v>
      </c>
      <c r="E63" s="59"/>
      <c r="F63" s="49"/>
      <c r="G63" s="62"/>
    </row>
    <row r="64" spans="1:7" s="51" customFormat="1" ht="16.5" customHeight="1" x14ac:dyDescent="0.2">
      <c r="A64" s="52" t="s">
        <v>119</v>
      </c>
      <c r="B64" s="413">
        <v>35.79</v>
      </c>
      <c r="C64" s="415"/>
      <c r="D64" s="61">
        <f>35.79</f>
        <v>35.79</v>
      </c>
      <c r="E64" s="103"/>
      <c r="F64" s="49"/>
      <c r="G64" s="62"/>
    </row>
    <row r="65" spans="1:7" s="41" customFormat="1" ht="15.75" customHeight="1" x14ac:dyDescent="0.2">
      <c r="A65" s="52" t="s">
        <v>87</v>
      </c>
      <c r="B65" s="413">
        <v>9</v>
      </c>
      <c r="C65" s="415"/>
      <c r="D65" s="61">
        <f>9</f>
        <v>9</v>
      </c>
      <c r="E65" s="60"/>
      <c r="F65" s="40"/>
    </row>
    <row r="66" spans="1:7" s="41" customFormat="1" ht="24" customHeight="1" x14ac:dyDescent="0.2">
      <c r="A66" s="106" t="s">
        <v>756</v>
      </c>
      <c r="B66" s="413">
        <v>41</v>
      </c>
      <c r="C66" s="414"/>
      <c r="D66" s="61">
        <f>41</f>
        <v>41</v>
      </c>
      <c r="E66" s="280"/>
      <c r="F66" s="40"/>
    </row>
    <row r="67" spans="1:7" s="41" customFormat="1" ht="15.75" customHeight="1" x14ac:dyDescent="0.2">
      <c r="A67" s="52" t="s">
        <v>94</v>
      </c>
      <c r="B67" s="413" t="s">
        <v>748</v>
      </c>
      <c r="C67" s="415"/>
      <c r="D67" s="61">
        <f>27+35</f>
        <v>62</v>
      </c>
      <c r="E67" s="59"/>
      <c r="F67" s="40"/>
    </row>
    <row r="68" spans="1:7" s="41" customFormat="1" ht="15.75" customHeight="1" x14ac:dyDescent="0.2">
      <c r="A68" s="52" t="s">
        <v>750</v>
      </c>
      <c r="B68" s="413" t="s">
        <v>751</v>
      </c>
      <c r="C68" s="415"/>
      <c r="D68" s="61">
        <f>49+11+29+21+23</f>
        <v>133</v>
      </c>
      <c r="E68" s="59"/>
      <c r="F68" s="40"/>
    </row>
    <row r="69" spans="1:7" s="41" customFormat="1" ht="15.75" customHeight="1" x14ac:dyDescent="0.2">
      <c r="A69" s="52" t="s">
        <v>83</v>
      </c>
      <c r="B69" s="413">
        <v>10.46</v>
      </c>
      <c r="C69" s="415"/>
      <c r="D69" s="61">
        <f>10.46</f>
        <v>10.46</v>
      </c>
      <c r="E69" s="59"/>
      <c r="F69" s="40"/>
    </row>
    <row r="70" spans="1:7" s="41" customFormat="1" ht="15.75" customHeight="1" x14ac:dyDescent="0.2">
      <c r="A70" s="52" t="s">
        <v>90</v>
      </c>
      <c r="B70" s="413">
        <v>85.64</v>
      </c>
      <c r="C70" s="415"/>
      <c r="D70" s="53">
        <f>85.64</f>
        <v>85.64</v>
      </c>
      <c r="E70" s="46"/>
      <c r="F70" s="40"/>
    </row>
    <row r="71" spans="1:7" s="41" customFormat="1" ht="15.75" customHeight="1" x14ac:dyDescent="0.2">
      <c r="A71" s="410"/>
      <c r="B71" s="411"/>
      <c r="C71" s="411"/>
      <c r="D71" s="411"/>
      <c r="E71" s="412"/>
      <c r="F71" s="40"/>
    </row>
    <row r="72" spans="1:7" s="41" customFormat="1" x14ac:dyDescent="0.2">
      <c r="A72" s="422" t="s">
        <v>52</v>
      </c>
      <c r="B72" s="423"/>
      <c r="C72" s="423"/>
      <c r="D72" s="75">
        <f>SUM(D73:D74)</f>
        <v>547.31100000000004</v>
      </c>
      <c r="E72" s="48" t="s">
        <v>45</v>
      </c>
      <c r="F72" s="40" t="s">
        <v>42</v>
      </c>
    </row>
    <row r="73" spans="1:7" s="51" customFormat="1" ht="24.75" customHeight="1" x14ac:dyDescent="0.2">
      <c r="A73" s="63" t="s">
        <v>87</v>
      </c>
      <c r="B73" s="413" t="s">
        <v>770</v>
      </c>
      <c r="C73" s="415"/>
      <c r="D73" s="65">
        <f>((2.15+1.95+4.95)*4.5*5.03) + (5.95*3.2*1.1) + (5.95*3.2*2.7) + (5.95*3.2*3.9) +((2.15+1.95+4.95)*4.5*4.45)</f>
        <v>532.68100000000004</v>
      </c>
      <c r="E73" s="64"/>
      <c r="F73" s="49"/>
    </row>
    <row r="74" spans="1:7" s="41" customFormat="1" ht="15.75" customHeight="1" x14ac:dyDescent="0.2">
      <c r="A74" s="63" t="s">
        <v>83</v>
      </c>
      <c r="B74" s="413" t="s">
        <v>92</v>
      </c>
      <c r="C74" s="415"/>
      <c r="D74" s="65">
        <f>7.7*1.9</f>
        <v>14.629999999999999</v>
      </c>
      <c r="E74" s="64"/>
      <c r="F74" s="40"/>
      <c r="G74" s="54"/>
    </row>
    <row r="75" spans="1:7" s="41" customFormat="1" ht="15.75" customHeight="1" x14ac:dyDescent="0.2">
      <c r="A75" s="410"/>
      <c r="B75" s="411"/>
      <c r="C75" s="411"/>
      <c r="D75" s="411"/>
      <c r="E75" s="412"/>
      <c r="F75" s="40"/>
      <c r="G75" s="54"/>
    </row>
    <row r="76" spans="1:7" s="41" customFormat="1" x14ac:dyDescent="0.2">
      <c r="A76" s="418" t="s">
        <v>53</v>
      </c>
      <c r="B76" s="419"/>
      <c r="C76" s="419"/>
      <c r="D76" s="75">
        <f>SUM(D77:D83)</f>
        <v>684.68499999999995</v>
      </c>
      <c r="E76" s="66" t="s">
        <v>41</v>
      </c>
      <c r="F76" s="40"/>
    </row>
    <row r="77" spans="1:7" s="51" customFormat="1" ht="15" customHeight="1" x14ac:dyDescent="0.2">
      <c r="A77" s="52" t="s">
        <v>83</v>
      </c>
      <c r="B77" s="420" t="s">
        <v>95</v>
      </c>
      <c r="C77" s="421"/>
      <c r="D77" s="53">
        <f>(7.7*1.9) + (8.9*2.2) + (3.67*2) + (4.91*2)</f>
        <v>51.37</v>
      </c>
      <c r="E77" s="46"/>
      <c r="F77" s="49"/>
    </row>
    <row r="78" spans="1:7" s="41" customFormat="1" ht="15.75" customHeight="1" x14ac:dyDescent="0.2">
      <c r="A78" s="52" t="s">
        <v>90</v>
      </c>
      <c r="B78" s="420" t="s">
        <v>96</v>
      </c>
      <c r="C78" s="421"/>
      <c r="D78" s="53">
        <f>(10.56*2) + (0.1*13)</f>
        <v>22.42</v>
      </c>
      <c r="E78" s="46"/>
      <c r="F78" s="40"/>
      <c r="G78" s="54"/>
    </row>
    <row r="79" spans="1:7" s="41" customFormat="1" ht="15.75" customHeight="1" x14ac:dyDescent="0.2">
      <c r="A79" s="52" t="s">
        <v>82</v>
      </c>
      <c r="B79" s="420" t="s">
        <v>126</v>
      </c>
      <c r="C79" s="431"/>
      <c r="D79" s="53">
        <f>(0.45*0.25*4) + (0.45*0.45*2)</f>
        <v>0.85499999999999998</v>
      </c>
      <c r="E79" s="46"/>
      <c r="F79" s="40"/>
      <c r="G79" s="54"/>
    </row>
    <row r="80" spans="1:7" s="41" customFormat="1" ht="15.75" customHeight="1" x14ac:dyDescent="0.2">
      <c r="A80" s="52" t="s">
        <v>94</v>
      </c>
      <c r="B80" s="413" t="s">
        <v>762</v>
      </c>
      <c r="C80" s="415"/>
      <c r="D80" s="53">
        <f>(0.8*9.8*6) + (0.9*9.8*2) + (1*9.8) + (0.8*8.25) + (0.9*8.25)</f>
        <v>88.504999999999995</v>
      </c>
      <c r="E80" s="46"/>
      <c r="F80" s="40"/>
      <c r="G80" s="54"/>
    </row>
    <row r="81" spans="1:7" s="41" customFormat="1" ht="26.25" customHeight="1" x14ac:dyDescent="0.2">
      <c r="A81" s="106" t="s">
        <v>756</v>
      </c>
      <c r="B81" s="413" t="s">
        <v>761</v>
      </c>
      <c r="C81" s="415"/>
      <c r="D81" s="55">
        <f>((0.8*4.8)+(1.44*2))*11</f>
        <v>73.92</v>
      </c>
      <c r="E81" s="46"/>
      <c r="F81" s="40"/>
      <c r="G81" s="54"/>
    </row>
    <row r="82" spans="1:7" s="41" customFormat="1" ht="35.25" customHeight="1" x14ac:dyDescent="0.2">
      <c r="A82" s="106" t="s">
        <v>750</v>
      </c>
      <c r="B82" s="413" t="s">
        <v>765</v>
      </c>
      <c r="C82" s="415"/>
      <c r="D82" s="55">
        <f>(1.3*5.95*2) + (1.3*5.9*2) + (1.3*4.35) + (1.1*3.1*3) + (1.3*9.05) + (1.1*8.9*3) + (1.1*4.4*7) + (1.1*4.45*2) + (1.3*4.35*2) + (1.1*9.05) + (1.1*4.35) + (1.3*4.95) + (1.1*5.9)</f>
        <v>170.47500000000002</v>
      </c>
      <c r="E82" s="46"/>
      <c r="F82" s="40"/>
      <c r="G82" s="54"/>
    </row>
    <row r="83" spans="1:7" s="41" customFormat="1" ht="15.75" customHeight="1" x14ac:dyDescent="0.2">
      <c r="A83" s="52" t="s">
        <v>87</v>
      </c>
      <c r="B83" s="420" t="s">
        <v>769</v>
      </c>
      <c r="C83" s="431"/>
      <c r="D83" s="53">
        <f>(((2.15+1.95+4.95)*4.5*2) + (5.95*3.2*3))*2</f>
        <v>277.14</v>
      </c>
      <c r="E83" s="46"/>
      <c r="F83" s="40"/>
      <c r="G83" s="54"/>
    </row>
    <row r="84" spans="1:7" s="41" customFormat="1" ht="15.75" customHeight="1" x14ac:dyDescent="0.2">
      <c r="A84" s="104" t="s">
        <v>272</v>
      </c>
      <c r="B84" s="420" t="s">
        <v>671</v>
      </c>
      <c r="C84" s="421"/>
      <c r="D84" s="53">
        <f>(2.1*4.8) + (1.8*4.8)</f>
        <v>18.72</v>
      </c>
      <c r="E84" s="56"/>
      <c r="F84" s="40"/>
      <c r="G84" s="54"/>
    </row>
    <row r="85" spans="1:7" s="41" customFormat="1" ht="15.75" customHeight="1" x14ac:dyDescent="0.2">
      <c r="A85" s="410"/>
      <c r="B85" s="411"/>
      <c r="C85" s="411"/>
      <c r="D85" s="411"/>
      <c r="E85" s="412"/>
      <c r="F85" s="40"/>
      <c r="G85" s="54"/>
    </row>
    <row r="86" spans="1:7" s="41" customFormat="1" x14ac:dyDescent="0.2">
      <c r="A86" s="418" t="s">
        <v>54</v>
      </c>
      <c r="B86" s="419"/>
      <c r="C86" s="419"/>
      <c r="D86" s="76">
        <f>SUM(D87:D89)*1.04</f>
        <v>194.32400000000001</v>
      </c>
      <c r="E86" s="48" t="s">
        <v>41</v>
      </c>
      <c r="F86" s="40" t="s">
        <v>42</v>
      </c>
    </row>
    <row r="87" spans="1:7" s="51" customFormat="1" ht="25.5" customHeight="1" x14ac:dyDescent="0.2">
      <c r="A87" s="63" t="s">
        <v>97</v>
      </c>
      <c r="B87" s="413" t="s">
        <v>654</v>
      </c>
      <c r="C87" s="415"/>
      <c r="D87" s="67">
        <f>( ((4.5*4.75*2) + (9.65*4.75*2) + (6*2*3.2) + (3.2*3.2)) - ((0.6*0.25*6) + (1.5*0.5*6) + (0.8*2.1*2) + (4*3.55) + ( 1*1)+ (1.6*3.2)) )</f>
        <v>153.98500000000001</v>
      </c>
      <c r="E87" s="64"/>
      <c r="F87" s="49"/>
    </row>
    <row r="88" spans="1:7" s="51" customFormat="1" ht="16.5" customHeight="1" x14ac:dyDescent="0.2">
      <c r="A88" s="63" t="s">
        <v>98</v>
      </c>
      <c r="B88" s="415" t="s">
        <v>655</v>
      </c>
      <c r="C88" s="415"/>
      <c r="D88" s="112">
        <f>((3*2*2.2) + (3*3) - (0.5*1))</f>
        <v>21.700000000000003</v>
      </c>
      <c r="E88" s="64"/>
      <c r="F88" s="49"/>
    </row>
    <row r="89" spans="1:7" s="51" customFormat="1" ht="16.5" customHeight="1" x14ac:dyDescent="0.2">
      <c r="A89" s="70" t="s">
        <v>99</v>
      </c>
      <c r="B89" s="413" t="s">
        <v>127</v>
      </c>
      <c r="C89" s="415"/>
      <c r="D89" s="112">
        <f>(9.95*0.7) + (6*0.7)</f>
        <v>11.164999999999999</v>
      </c>
      <c r="E89" s="64"/>
      <c r="F89" s="49"/>
    </row>
    <row r="90" spans="1:7" s="41" customFormat="1" x14ac:dyDescent="0.2">
      <c r="A90" s="410"/>
      <c r="B90" s="411"/>
      <c r="C90" s="411"/>
      <c r="D90" s="411"/>
      <c r="E90" s="412"/>
      <c r="F90" s="40"/>
      <c r="G90" s="54"/>
    </row>
    <row r="91" spans="1:7" s="41" customFormat="1" x14ac:dyDescent="0.2">
      <c r="A91" s="416" t="s">
        <v>56</v>
      </c>
      <c r="B91" s="426"/>
      <c r="C91" s="426"/>
      <c r="D91" s="68">
        <f>SUM(D92:D92)</f>
        <v>83.8065</v>
      </c>
      <c r="E91" s="48" t="s">
        <v>41</v>
      </c>
      <c r="F91" s="40" t="s">
        <v>42</v>
      </c>
    </row>
    <row r="92" spans="1:7" s="41" customFormat="1" x14ac:dyDescent="0.2">
      <c r="A92" s="69"/>
      <c r="B92" s="424" t="s">
        <v>123</v>
      </c>
      <c r="C92" s="427"/>
      <c r="D92" s="58">
        <f>(4*6.15) + (11.15*5.31)</f>
        <v>83.8065</v>
      </c>
      <c r="E92" s="59"/>
      <c r="F92" s="40"/>
    </row>
    <row r="93" spans="1:7" s="41" customFormat="1" x14ac:dyDescent="0.2">
      <c r="A93" s="428"/>
      <c r="B93" s="429"/>
      <c r="C93" s="429"/>
      <c r="D93" s="429"/>
      <c r="E93" s="430"/>
      <c r="F93" s="40"/>
    </row>
    <row r="94" spans="1:7" s="41" customFormat="1" x14ac:dyDescent="0.2">
      <c r="A94" s="416" t="s">
        <v>121</v>
      </c>
      <c r="B94" s="426"/>
      <c r="C94" s="426"/>
      <c r="D94" s="68">
        <f>SUM(D95:D95)</f>
        <v>38.1</v>
      </c>
      <c r="E94" s="48" t="s">
        <v>55</v>
      </c>
      <c r="F94" s="40" t="s">
        <v>42</v>
      </c>
    </row>
    <row r="95" spans="1:7" s="41" customFormat="1" x14ac:dyDescent="0.2">
      <c r="A95" s="69"/>
      <c r="B95" s="424" t="s">
        <v>122</v>
      </c>
      <c r="C95" s="427"/>
      <c r="D95" s="58">
        <f>(9.95+6.15+4.7+17.3)</f>
        <v>38.1</v>
      </c>
      <c r="E95" s="59"/>
      <c r="F95" s="40"/>
    </row>
    <row r="96" spans="1:7" s="41" customFormat="1" x14ac:dyDescent="0.2">
      <c r="A96" s="428"/>
      <c r="B96" s="429"/>
      <c r="C96" s="429"/>
      <c r="D96" s="429"/>
      <c r="E96" s="430"/>
      <c r="F96" s="40"/>
    </row>
    <row r="97" spans="1:7" s="41" customFormat="1" x14ac:dyDescent="0.2">
      <c r="A97" s="416" t="s">
        <v>129</v>
      </c>
      <c r="B97" s="426"/>
      <c r="C97" s="426"/>
      <c r="D97" s="68">
        <f>SUM(D98:D98)</f>
        <v>17.899999999999999</v>
      </c>
      <c r="E97" s="48" t="s">
        <v>55</v>
      </c>
      <c r="F97" s="40" t="s">
        <v>42</v>
      </c>
    </row>
    <row r="98" spans="1:7" s="41" customFormat="1" x14ac:dyDescent="0.2">
      <c r="A98" s="69"/>
      <c r="B98" s="424" t="s">
        <v>130</v>
      </c>
      <c r="C98" s="427"/>
      <c r="D98" s="58">
        <f>11.15+6.75</f>
        <v>17.899999999999999</v>
      </c>
      <c r="E98" s="59"/>
      <c r="F98" s="40"/>
    </row>
    <row r="99" spans="1:7" s="41" customFormat="1" x14ac:dyDescent="0.2">
      <c r="A99" s="428"/>
      <c r="B99" s="429"/>
      <c r="C99" s="429"/>
      <c r="D99" s="429"/>
      <c r="E99" s="430"/>
      <c r="F99" s="40"/>
    </row>
    <row r="100" spans="1:7" s="41" customFormat="1" x14ac:dyDescent="0.2">
      <c r="A100" s="416" t="s">
        <v>180</v>
      </c>
      <c r="B100" s="426"/>
      <c r="C100" s="426"/>
      <c r="D100" s="68">
        <f>SUM(D101:D104)</f>
        <v>476.28499999999997</v>
      </c>
      <c r="E100" s="48" t="s">
        <v>41</v>
      </c>
      <c r="F100" s="40" t="s">
        <v>42</v>
      </c>
    </row>
    <row r="101" spans="1:7" s="41" customFormat="1" ht="24.75" customHeight="1" x14ac:dyDescent="0.2">
      <c r="A101" s="63" t="s">
        <v>98</v>
      </c>
      <c r="B101" s="413" t="s">
        <v>664</v>
      </c>
      <c r="C101" s="438"/>
      <c r="D101" s="71">
        <f>( ((4.5*4.75*2) + (9.65*4.75*2) + (6*2*3.2) + (3.2*3.2*2)+(3*3*2) + (3*2.2*2*2)) - ((0.6*0.25*6) + (1.5*0.5*6) + (0.8*2.1*2) + (4*3.55) + ( 1*1) + (1*0.5)) )</f>
        <v>213.245</v>
      </c>
      <c r="E101" s="72"/>
      <c r="F101" s="40"/>
    </row>
    <row r="102" spans="1:7" s="41" customFormat="1" ht="25.5" customHeight="1" x14ac:dyDescent="0.2">
      <c r="A102" s="63" t="s">
        <v>97</v>
      </c>
      <c r="B102" s="413" t="s">
        <v>665</v>
      </c>
      <c r="C102" s="414"/>
      <c r="D102" s="71">
        <f>(((9.95*5.15*2)+(6.1*5.15)+(6.15*3.6*2)+(3.5*3.6))-(((0.6*0.25*6)+(1.5*0.5*6)+(0.8*2.1*2)+(4*3.55)+(1*1))))</f>
        <v>166.82</v>
      </c>
      <c r="E102" s="72"/>
      <c r="F102" s="40"/>
    </row>
    <row r="103" spans="1:7" s="41" customFormat="1" x14ac:dyDescent="0.2">
      <c r="A103" s="279" t="s">
        <v>99</v>
      </c>
      <c r="B103" s="413" t="s">
        <v>128</v>
      </c>
      <c r="C103" s="415"/>
      <c r="D103" s="67">
        <f>((9.95*0.7) + (6*0.7))*2 + (0.1*9.95) + (0.1*6) + (0.1*0.7*4)</f>
        <v>24.205000000000002</v>
      </c>
      <c r="E103" s="113"/>
      <c r="F103" s="40"/>
    </row>
    <row r="104" spans="1:7" s="41" customFormat="1" x14ac:dyDescent="0.2">
      <c r="A104" s="279" t="s">
        <v>179</v>
      </c>
      <c r="B104" s="413" t="s">
        <v>656</v>
      </c>
      <c r="C104" s="415"/>
      <c r="D104" s="112">
        <f>(3.8*6) + (5.1*9.65)</f>
        <v>72.014999999999986</v>
      </c>
      <c r="E104" s="72"/>
      <c r="F104" s="40"/>
    </row>
    <row r="105" spans="1:7" s="41" customFormat="1" x14ac:dyDescent="0.2">
      <c r="A105" s="435"/>
      <c r="B105" s="436"/>
      <c r="C105" s="436"/>
      <c r="D105" s="436"/>
      <c r="E105" s="437"/>
      <c r="F105" s="40"/>
    </row>
    <row r="106" spans="1:7" s="41" customFormat="1" x14ac:dyDescent="0.2">
      <c r="A106" s="416" t="s">
        <v>190</v>
      </c>
      <c r="B106" s="426"/>
      <c r="C106" s="426"/>
      <c r="D106" s="68">
        <f>SUM(D107:D109)</f>
        <v>404.27</v>
      </c>
      <c r="E106" s="48" t="s">
        <v>41</v>
      </c>
      <c r="F106" s="40" t="s">
        <v>42</v>
      </c>
    </row>
    <row r="107" spans="1:7" s="41" customFormat="1" ht="25.5" customHeight="1" x14ac:dyDescent="0.2">
      <c r="A107" s="63" t="s">
        <v>98</v>
      </c>
      <c r="B107" s="413" t="s">
        <v>664</v>
      </c>
      <c r="C107" s="438"/>
      <c r="D107" s="71">
        <f>( ((4.5*4.75*2) + (9.65*4.75*2) + (6*2*3.2) + (3.2*3.2*2)+(3*3*2) + (3*2.2*2*2)) - ((0.6*0.25*6) + (1.5*0.5*6) + (0.8*2.1*2) + (4*3.55) + ( 1*1) + (1*0.5)) )</f>
        <v>213.245</v>
      </c>
      <c r="E107" s="72"/>
      <c r="F107" s="40"/>
    </row>
    <row r="108" spans="1:7" s="41" customFormat="1" ht="29.25" customHeight="1" x14ac:dyDescent="0.2">
      <c r="A108" s="63" t="s">
        <v>97</v>
      </c>
      <c r="B108" s="413" t="s">
        <v>665</v>
      </c>
      <c r="C108" s="414"/>
      <c r="D108" s="71">
        <f>( ((9.95*5.15*2) + (6.1*5.15) + (6.15*3.6*2) + (3.5*3.6)) - ((0.6*0.25*6) + (1.5*0.5*6) + (0.8*2.1*2) + (4*3.55) + ( 1*1)) )</f>
        <v>166.82</v>
      </c>
      <c r="E108" s="72"/>
      <c r="F108" s="40"/>
    </row>
    <row r="109" spans="1:7" s="41" customFormat="1" x14ac:dyDescent="0.2">
      <c r="A109" s="70" t="s">
        <v>99</v>
      </c>
      <c r="B109" s="413" t="s">
        <v>128</v>
      </c>
      <c r="C109" s="415"/>
      <c r="D109" s="67">
        <f>((9.95*0.7) + (6*0.7))*2 + (0.1*9.95) + (0.1*6) + (0.1*0.7*4)</f>
        <v>24.205000000000002</v>
      </c>
      <c r="E109" s="113"/>
      <c r="F109" s="40"/>
    </row>
    <row r="110" spans="1:7" s="41" customFormat="1" x14ac:dyDescent="0.2">
      <c r="A110" s="435"/>
      <c r="B110" s="436"/>
      <c r="C110" s="436"/>
      <c r="D110" s="436"/>
      <c r="E110" s="437"/>
      <c r="F110" s="40"/>
    </row>
    <row r="111" spans="1:7" s="41" customFormat="1" x14ac:dyDescent="0.2">
      <c r="A111" s="416" t="s">
        <v>101</v>
      </c>
      <c r="B111" s="426"/>
      <c r="C111" s="426"/>
      <c r="D111" s="68">
        <f>SUM(D112:D112)</f>
        <v>245.90280000000001</v>
      </c>
      <c r="E111" s="48" t="s">
        <v>41</v>
      </c>
      <c r="F111" s="40" t="s">
        <v>42</v>
      </c>
      <c r="G111" s="54"/>
    </row>
    <row r="112" spans="1:7" s="41" customFormat="1" x14ac:dyDescent="0.2">
      <c r="A112" s="69"/>
      <c r="B112" s="424" t="s">
        <v>102</v>
      </c>
      <c r="C112" s="427"/>
      <c r="D112" s="58">
        <f>17.16*14.33</f>
        <v>245.90280000000001</v>
      </c>
      <c r="E112" s="59"/>
      <c r="F112" s="40"/>
    </row>
    <row r="113" spans="1:6" x14ac:dyDescent="0.25">
      <c r="A113" s="428"/>
      <c r="B113" s="429"/>
      <c r="C113" s="429"/>
      <c r="D113" s="429"/>
      <c r="E113" s="430"/>
    </row>
    <row r="114" spans="1:6" x14ac:dyDescent="0.25">
      <c r="A114" s="416" t="s">
        <v>103</v>
      </c>
      <c r="B114" s="426"/>
      <c r="C114" s="426"/>
      <c r="D114" s="68">
        <f>SUM(D115:D115)</f>
        <v>73.770840000000007</v>
      </c>
      <c r="E114" s="48" t="s">
        <v>45</v>
      </c>
      <c r="F114" s="37" t="s">
        <v>42</v>
      </c>
    </row>
    <row r="115" spans="1:6" x14ac:dyDescent="0.25">
      <c r="A115" s="69"/>
      <c r="B115" s="424" t="s">
        <v>104</v>
      </c>
      <c r="C115" s="427"/>
      <c r="D115" s="58">
        <f>17.16*14.33*0.3</f>
        <v>73.770840000000007</v>
      </c>
      <c r="E115" s="59"/>
    </row>
    <row r="116" spans="1:6" x14ac:dyDescent="0.25">
      <c r="A116" s="428"/>
      <c r="B116" s="429"/>
      <c r="C116" s="429"/>
      <c r="D116" s="429"/>
      <c r="E116" s="430"/>
    </row>
    <row r="117" spans="1:6" x14ac:dyDescent="0.25">
      <c r="A117" s="416" t="s">
        <v>113</v>
      </c>
      <c r="B117" s="426"/>
      <c r="C117" s="426"/>
      <c r="D117" s="68">
        <f>SUM(D118:D118)</f>
        <v>4.2125000000000003E-2</v>
      </c>
      <c r="E117" s="48" t="s">
        <v>45</v>
      </c>
      <c r="F117" s="37" t="s">
        <v>42</v>
      </c>
    </row>
    <row r="118" spans="1:6" x14ac:dyDescent="0.25">
      <c r="A118" s="52" t="s">
        <v>83</v>
      </c>
      <c r="B118" s="424" t="s">
        <v>114</v>
      </c>
      <c r="C118" s="427"/>
      <c r="D118" s="58">
        <f>0.0625*0.674</f>
        <v>4.2125000000000003E-2</v>
      </c>
      <c r="E118" s="59"/>
    </row>
    <row r="119" spans="1:6" x14ac:dyDescent="0.25">
      <c r="A119" s="428"/>
      <c r="B119" s="429"/>
      <c r="C119" s="429"/>
      <c r="D119" s="429"/>
      <c r="E119" s="430"/>
    </row>
    <row r="120" spans="1:6" x14ac:dyDescent="0.25">
      <c r="A120" s="416" t="s">
        <v>105</v>
      </c>
      <c r="B120" s="426"/>
      <c r="C120" s="426"/>
      <c r="D120" s="68">
        <f>SUM(D121:D121)</f>
        <v>264.79680000000002</v>
      </c>
      <c r="E120" s="48" t="s">
        <v>41</v>
      </c>
      <c r="F120" s="37" t="s">
        <v>42</v>
      </c>
    </row>
    <row r="121" spans="1:6" x14ac:dyDescent="0.25">
      <c r="A121" s="69"/>
      <c r="B121" s="424" t="s">
        <v>106</v>
      </c>
      <c r="C121" s="427"/>
      <c r="D121" s="58">
        <f>(17.16*14.33) + (14.33*0.3*2) + (17.16*0.3*2)</f>
        <v>264.79680000000002</v>
      </c>
      <c r="E121" s="59"/>
    </row>
    <row r="122" spans="1:6" x14ac:dyDescent="0.25">
      <c r="A122" s="428"/>
      <c r="B122" s="429"/>
      <c r="C122" s="429"/>
      <c r="D122" s="429"/>
      <c r="E122" s="430"/>
    </row>
    <row r="123" spans="1:6" x14ac:dyDescent="0.25">
      <c r="A123" s="416" t="s">
        <v>107</v>
      </c>
      <c r="B123" s="426"/>
      <c r="C123" s="426"/>
      <c r="D123" s="68">
        <f>SUM(D124:D125)</f>
        <v>9.5</v>
      </c>
      <c r="E123" s="48" t="s">
        <v>55</v>
      </c>
      <c r="F123" s="37" t="s">
        <v>42</v>
      </c>
    </row>
    <row r="124" spans="1:6" x14ac:dyDescent="0.25">
      <c r="A124" s="52" t="s">
        <v>109</v>
      </c>
      <c r="B124" s="424" t="s">
        <v>666</v>
      </c>
      <c r="C124" s="427"/>
      <c r="D124" s="58">
        <f>1*1.9</f>
        <v>1.9</v>
      </c>
      <c r="E124" s="59"/>
    </row>
    <row r="125" spans="1:6" x14ac:dyDescent="0.25">
      <c r="A125" s="104" t="s">
        <v>108</v>
      </c>
      <c r="B125" s="424" t="s">
        <v>667</v>
      </c>
      <c r="C125" s="425"/>
      <c r="D125" s="118">
        <f>4*1.9</f>
        <v>7.6</v>
      </c>
      <c r="E125" s="59"/>
    </row>
    <row r="126" spans="1:6" x14ac:dyDescent="0.25">
      <c r="A126" s="428"/>
      <c r="B126" s="429"/>
      <c r="C126" s="429"/>
      <c r="D126" s="429"/>
      <c r="E126" s="430"/>
    </row>
    <row r="127" spans="1:6" x14ac:dyDescent="0.25">
      <c r="A127" s="416" t="s">
        <v>164</v>
      </c>
      <c r="B127" s="426"/>
      <c r="C127" s="426"/>
      <c r="D127" s="68">
        <f>SUM(D128:D128)</f>
        <v>72</v>
      </c>
      <c r="E127" s="48" t="s">
        <v>55</v>
      </c>
      <c r="F127" s="37" t="s">
        <v>42</v>
      </c>
    </row>
    <row r="128" spans="1:6" x14ac:dyDescent="0.25">
      <c r="A128" s="69"/>
      <c r="B128" s="424" t="s">
        <v>110</v>
      </c>
      <c r="C128" s="427"/>
      <c r="D128" s="58">
        <f>(16+16+20+20)</f>
        <v>72</v>
      </c>
      <c r="E128" s="59"/>
    </row>
    <row r="129" spans="1:6" x14ac:dyDescent="0.25">
      <c r="A129" s="428"/>
      <c r="B129" s="429"/>
      <c r="C129" s="429"/>
      <c r="D129" s="429"/>
      <c r="E129" s="430"/>
    </row>
    <row r="130" spans="1:6" x14ac:dyDescent="0.25">
      <c r="A130" s="416" t="s">
        <v>111</v>
      </c>
      <c r="B130" s="426"/>
      <c r="C130" s="426"/>
      <c r="D130" s="68">
        <f>SUM(D131:D131)</f>
        <v>25</v>
      </c>
      <c r="E130" s="48" t="s">
        <v>116</v>
      </c>
      <c r="F130" s="37" t="s">
        <v>42</v>
      </c>
    </row>
    <row r="131" spans="1:6" x14ac:dyDescent="0.25">
      <c r="A131" s="69"/>
      <c r="B131" s="424" t="s">
        <v>112</v>
      </c>
      <c r="C131" s="427"/>
      <c r="D131" s="58">
        <f>5*5</f>
        <v>25</v>
      </c>
      <c r="E131" s="59"/>
    </row>
    <row r="132" spans="1:6" x14ac:dyDescent="0.25">
      <c r="A132" s="428"/>
      <c r="B132" s="429"/>
      <c r="C132" s="429"/>
      <c r="D132" s="429"/>
      <c r="E132" s="430"/>
    </row>
    <row r="133" spans="1:6" x14ac:dyDescent="0.25">
      <c r="A133" s="416" t="s">
        <v>115</v>
      </c>
      <c r="B133" s="426"/>
      <c r="C133" s="426"/>
      <c r="D133" s="68">
        <f>SUM(D134:D134)</f>
        <v>55.19</v>
      </c>
      <c r="E133" s="48" t="s">
        <v>55</v>
      </c>
      <c r="F133" s="37" t="s">
        <v>42</v>
      </c>
    </row>
    <row r="134" spans="1:6" x14ac:dyDescent="0.25">
      <c r="A134" s="52" t="s">
        <v>117</v>
      </c>
      <c r="B134" s="424" t="s">
        <v>118</v>
      </c>
      <c r="C134" s="427"/>
      <c r="D134" s="58">
        <f>34.55+20.64</f>
        <v>55.19</v>
      </c>
      <c r="E134" s="59"/>
    </row>
    <row r="135" spans="1:6" x14ac:dyDescent="0.25">
      <c r="A135" s="428"/>
      <c r="B135" s="429"/>
      <c r="C135" s="429"/>
      <c r="D135" s="429"/>
      <c r="E135" s="430"/>
    </row>
    <row r="136" spans="1:6" x14ac:dyDescent="0.25">
      <c r="A136" s="416" t="s">
        <v>177</v>
      </c>
      <c r="B136" s="426"/>
      <c r="C136" s="426"/>
      <c r="D136" s="68">
        <f>SUM(D137)</f>
        <v>20.240000000000002</v>
      </c>
      <c r="E136" s="48" t="s">
        <v>41</v>
      </c>
      <c r="F136" s="37" t="s">
        <v>42</v>
      </c>
    </row>
    <row r="137" spans="1:6" x14ac:dyDescent="0.25">
      <c r="A137" s="52" t="s">
        <v>652</v>
      </c>
      <c r="B137" s="424" t="s">
        <v>653</v>
      </c>
      <c r="C137" s="427"/>
      <c r="D137" s="58">
        <f>(2.5*2.2*2) + (2*2.2) + (2.2*2.2)</f>
        <v>20.240000000000002</v>
      </c>
      <c r="E137" s="280"/>
    </row>
    <row r="138" spans="1:6" x14ac:dyDescent="0.25">
      <c r="A138" s="428"/>
      <c r="B138" s="429"/>
      <c r="C138" s="429"/>
      <c r="D138" s="429"/>
      <c r="E138" s="430"/>
    </row>
    <row r="139" spans="1:6" x14ac:dyDescent="0.25">
      <c r="A139" s="416" t="s">
        <v>239</v>
      </c>
      <c r="B139" s="417"/>
      <c r="C139" s="434"/>
      <c r="D139" s="68"/>
      <c r="E139" s="48" t="s">
        <v>41</v>
      </c>
    </row>
    <row r="140" spans="1:6" x14ac:dyDescent="0.25">
      <c r="A140" s="52" t="s">
        <v>285</v>
      </c>
      <c r="B140" s="432">
        <v>43.42</v>
      </c>
      <c r="C140" s="433"/>
      <c r="D140" s="58">
        <f>43.42</f>
        <v>43.42</v>
      </c>
      <c r="E140" s="59"/>
      <c r="F140" s="37" t="s">
        <v>42</v>
      </c>
    </row>
    <row r="141" spans="1:6" x14ac:dyDescent="0.25">
      <c r="A141" s="52" t="s">
        <v>284</v>
      </c>
      <c r="B141" s="424">
        <v>19.2</v>
      </c>
      <c r="C141" s="425"/>
      <c r="D141" s="118">
        <f>19.2</f>
        <v>19.2</v>
      </c>
      <c r="E141" s="59"/>
      <c r="F141" s="37" t="s">
        <v>42</v>
      </c>
    </row>
    <row r="142" spans="1:6" x14ac:dyDescent="0.25">
      <c r="A142" s="428"/>
      <c r="B142" s="429"/>
      <c r="C142" s="429"/>
      <c r="D142" s="429"/>
      <c r="E142" s="430"/>
    </row>
    <row r="143" spans="1:6" x14ac:dyDescent="0.25">
      <c r="A143" s="416" t="s">
        <v>181</v>
      </c>
      <c r="B143" s="426"/>
      <c r="C143" s="426"/>
      <c r="D143" s="68">
        <f>SUM(D144:D144)</f>
        <v>46.7</v>
      </c>
      <c r="E143" s="48" t="s">
        <v>55</v>
      </c>
      <c r="F143" s="37" t="s">
        <v>42</v>
      </c>
    </row>
    <row r="144" spans="1:6" x14ac:dyDescent="0.25">
      <c r="A144" s="52"/>
      <c r="B144" s="424" t="s">
        <v>657</v>
      </c>
      <c r="C144" s="427"/>
      <c r="D144" s="58">
        <f>(28.3+18.4)</f>
        <v>46.7</v>
      </c>
      <c r="E144" s="59"/>
    </row>
    <row r="145" spans="1:6" x14ac:dyDescent="0.25">
      <c r="A145" s="428"/>
      <c r="B145" s="429"/>
      <c r="C145" s="429"/>
      <c r="D145" s="429"/>
      <c r="E145" s="430"/>
    </row>
    <row r="146" spans="1:6" x14ac:dyDescent="0.25">
      <c r="A146" s="416" t="s">
        <v>658</v>
      </c>
      <c r="B146" s="426"/>
      <c r="C146" s="426"/>
      <c r="D146" s="68">
        <f>SUM(D147:D147)</f>
        <v>0.48</v>
      </c>
      <c r="E146" s="48" t="s">
        <v>41</v>
      </c>
      <c r="F146" s="37" t="s">
        <v>42</v>
      </c>
    </row>
    <row r="147" spans="1:6" x14ac:dyDescent="0.25">
      <c r="A147" s="52" t="s">
        <v>651</v>
      </c>
      <c r="B147" s="424" t="s">
        <v>659</v>
      </c>
      <c r="C147" s="427"/>
      <c r="D147" s="58">
        <f>(0.8*0.15*2) + (1.6*0.15)</f>
        <v>0.48</v>
      </c>
      <c r="E147" s="59"/>
    </row>
    <row r="148" spans="1:6" x14ac:dyDescent="0.25">
      <c r="A148" s="428"/>
      <c r="B148" s="429"/>
      <c r="C148" s="429"/>
      <c r="D148" s="429"/>
      <c r="E148" s="430"/>
    </row>
    <row r="149" spans="1:6" x14ac:dyDescent="0.25">
      <c r="A149" s="416" t="s">
        <v>660</v>
      </c>
      <c r="B149" s="426"/>
      <c r="C149" s="426"/>
      <c r="D149" s="68">
        <f>SUM(D150:D150)</f>
        <v>12.6</v>
      </c>
      <c r="E149" s="48" t="s">
        <v>55</v>
      </c>
      <c r="F149" s="37" t="s">
        <v>42</v>
      </c>
    </row>
    <row r="150" spans="1:6" x14ac:dyDescent="0.25">
      <c r="A150" s="52"/>
      <c r="B150" s="424" t="s">
        <v>661</v>
      </c>
      <c r="C150" s="427"/>
      <c r="D150" s="58">
        <f>(1.5*6) + (0.6*6)</f>
        <v>12.6</v>
      </c>
      <c r="E150" s="59"/>
    </row>
    <row r="151" spans="1:6" x14ac:dyDescent="0.25">
      <c r="A151" s="428"/>
      <c r="B151" s="429"/>
      <c r="C151" s="429"/>
      <c r="D151" s="429"/>
      <c r="E151" s="430"/>
    </row>
    <row r="152" spans="1:6" x14ac:dyDescent="0.25">
      <c r="A152" s="416" t="s">
        <v>189</v>
      </c>
      <c r="B152" s="426"/>
      <c r="C152" s="426"/>
      <c r="D152" s="68">
        <f>SUM(D153:D153)</f>
        <v>5.4</v>
      </c>
      <c r="E152" s="48" t="s">
        <v>41</v>
      </c>
      <c r="F152" s="37" t="s">
        <v>42</v>
      </c>
    </row>
    <row r="153" spans="1:6" x14ac:dyDescent="0.25">
      <c r="A153" s="52" t="s">
        <v>662</v>
      </c>
      <c r="B153" s="424" t="s">
        <v>663</v>
      </c>
      <c r="C153" s="427"/>
      <c r="D153" s="58">
        <f>(1.5*0.5*6) + (0.6*0.25*6)</f>
        <v>5.4</v>
      </c>
      <c r="E153" s="59"/>
    </row>
    <row r="154" spans="1:6" x14ac:dyDescent="0.25">
      <c r="A154" s="428"/>
      <c r="B154" s="429"/>
      <c r="C154" s="429"/>
      <c r="D154" s="429"/>
      <c r="E154" s="430"/>
    </row>
    <row r="155" spans="1:6" x14ac:dyDescent="0.25">
      <c r="A155" s="416" t="s">
        <v>771</v>
      </c>
      <c r="B155" s="426"/>
      <c r="C155" s="426"/>
      <c r="D155" s="68">
        <f>SUM(D156:D156)</f>
        <v>121</v>
      </c>
      <c r="E155" s="48" t="s">
        <v>55</v>
      </c>
      <c r="F155" s="37" t="s">
        <v>42</v>
      </c>
    </row>
    <row r="156" spans="1:6" x14ac:dyDescent="0.25">
      <c r="A156" s="52"/>
      <c r="B156" s="424" t="s">
        <v>868</v>
      </c>
      <c r="C156" s="427"/>
      <c r="D156" s="58">
        <f>13 + (8*7) + (4*3) + (7*4) + (3*4)</f>
        <v>121</v>
      </c>
      <c r="E156" s="59"/>
    </row>
    <row r="157" spans="1:6" x14ac:dyDescent="0.25">
      <c r="A157" s="428"/>
      <c r="B157" s="429"/>
      <c r="C157" s="429"/>
      <c r="D157" s="429"/>
      <c r="E157" s="430"/>
    </row>
  </sheetData>
  <mergeCells count="158">
    <mergeCell ref="A155:C155"/>
    <mergeCell ref="B156:C156"/>
    <mergeCell ref="A157:E157"/>
    <mergeCell ref="D1:E1"/>
    <mergeCell ref="A2:B2"/>
    <mergeCell ref="D2:E2"/>
    <mergeCell ref="A3:E3"/>
    <mergeCell ref="A4:C4"/>
    <mergeCell ref="A18:E18"/>
    <mergeCell ref="A5:C5"/>
    <mergeCell ref="A6:C6"/>
    <mergeCell ref="B7:C7"/>
    <mergeCell ref="A8:E8"/>
    <mergeCell ref="A9:C9"/>
    <mergeCell ref="B10:C10"/>
    <mergeCell ref="B12:C12"/>
    <mergeCell ref="B17:C17"/>
    <mergeCell ref="B11:C11"/>
    <mergeCell ref="A13:E13"/>
    <mergeCell ref="A14:C14"/>
    <mergeCell ref="B15:C15"/>
    <mergeCell ref="B16:C16"/>
    <mergeCell ref="B74:C74"/>
    <mergeCell ref="A75:E75"/>
    <mergeCell ref="A35:E35"/>
    <mergeCell ref="B42:C42"/>
    <mergeCell ref="A19:C19"/>
    <mergeCell ref="B20:C20"/>
    <mergeCell ref="A21:E21"/>
    <mergeCell ref="A22:C22"/>
    <mergeCell ref="B23:C23"/>
    <mergeCell ref="B34:C34"/>
    <mergeCell ref="B28:C28"/>
    <mergeCell ref="A24:E24"/>
    <mergeCell ref="A25:C25"/>
    <mergeCell ref="B26:C26"/>
    <mergeCell ref="B32:C32"/>
    <mergeCell ref="B33:C33"/>
    <mergeCell ref="B29:C29"/>
    <mergeCell ref="B83:C83"/>
    <mergeCell ref="B79:C79"/>
    <mergeCell ref="B64:C64"/>
    <mergeCell ref="B87:C87"/>
    <mergeCell ref="A86:C86"/>
    <mergeCell ref="A94:C94"/>
    <mergeCell ref="B45:C45"/>
    <mergeCell ref="A36:C36"/>
    <mergeCell ref="B37:C37"/>
    <mergeCell ref="A38:E38"/>
    <mergeCell ref="A39:E39"/>
    <mergeCell ref="A40:C40"/>
    <mergeCell ref="B41:C41"/>
    <mergeCell ref="B43:C43"/>
    <mergeCell ref="A85:E85"/>
    <mergeCell ref="B48:C48"/>
    <mergeCell ref="B49:C49"/>
    <mergeCell ref="A50:E50"/>
    <mergeCell ref="A62:C62"/>
    <mergeCell ref="B63:C63"/>
    <mergeCell ref="B65:C65"/>
    <mergeCell ref="B67:C67"/>
    <mergeCell ref="B69:C69"/>
    <mergeCell ref="B70:C70"/>
    <mergeCell ref="B95:C95"/>
    <mergeCell ref="A96:E96"/>
    <mergeCell ref="A90:E90"/>
    <mergeCell ref="B88:C88"/>
    <mergeCell ref="B89:C89"/>
    <mergeCell ref="A91:C91"/>
    <mergeCell ref="B92:C92"/>
    <mergeCell ref="A93:E93"/>
    <mergeCell ref="A106:C106"/>
    <mergeCell ref="B107:C107"/>
    <mergeCell ref="A114:C114"/>
    <mergeCell ref="B115:C115"/>
    <mergeCell ref="A97:C97"/>
    <mergeCell ref="B98:C98"/>
    <mergeCell ref="A99:E99"/>
    <mergeCell ref="B109:C109"/>
    <mergeCell ref="B108:C108"/>
    <mergeCell ref="A100:C100"/>
    <mergeCell ref="B101:C101"/>
    <mergeCell ref="B102:C102"/>
    <mergeCell ref="B103:C103"/>
    <mergeCell ref="A105:E105"/>
    <mergeCell ref="B104:C104"/>
    <mergeCell ref="B134:C134"/>
    <mergeCell ref="A135:E135"/>
    <mergeCell ref="A133:C133"/>
    <mergeCell ref="A116:E116"/>
    <mergeCell ref="A120:C120"/>
    <mergeCell ref="B121:C121"/>
    <mergeCell ref="A110:E110"/>
    <mergeCell ref="A111:C111"/>
    <mergeCell ref="B112:C112"/>
    <mergeCell ref="A113:E113"/>
    <mergeCell ref="A132:E132"/>
    <mergeCell ref="A117:C117"/>
    <mergeCell ref="B118:C118"/>
    <mergeCell ref="A119:E119"/>
    <mergeCell ref="A127:C127"/>
    <mergeCell ref="B128:C128"/>
    <mergeCell ref="A129:E129"/>
    <mergeCell ref="A130:C130"/>
    <mergeCell ref="B131:C131"/>
    <mergeCell ref="A122:E122"/>
    <mergeCell ref="A123:C123"/>
    <mergeCell ref="B124:C124"/>
    <mergeCell ref="A126:E126"/>
    <mergeCell ref="B125:C125"/>
    <mergeCell ref="B141:C141"/>
    <mergeCell ref="A152:C152"/>
    <mergeCell ref="B153:C153"/>
    <mergeCell ref="A154:E154"/>
    <mergeCell ref="B27:C27"/>
    <mergeCell ref="B44:C44"/>
    <mergeCell ref="B66:C66"/>
    <mergeCell ref="B84:C84"/>
    <mergeCell ref="B80:C80"/>
    <mergeCell ref="A142:E142"/>
    <mergeCell ref="B140:C140"/>
    <mergeCell ref="A139:C139"/>
    <mergeCell ref="A143:C143"/>
    <mergeCell ref="B144:C144"/>
    <mergeCell ref="A145:E145"/>
    <mergeCell ref="A146:C146"/>
    <mergeCell ref="B147:C147"/>
    <mergeCell ref="A148:E148"/>
    <mergeCell ref="A149:C149"/>
    <mergeCell ref="B150:C150"/>
    <mergeCell ref="A151:E151"/>
    <mergeCell ref="A136:C136"/>
    <mergeCell ref="A138:E138"/>
    <mergeCell ref="B137:C137"/>
    <mergeCell ref="A61:E61"/>
    <mergeCell ref="B56:C56"/>
    <mergeCell ref="B58:C58"/>
    <mergeCell ref="B68:C68"/>
    <mergeCell ref="B30:C30"/>
    <mergeCell ref="B46:C46"/>
    <mergeCell ref="B81:C81"/>
    <mergeCell ref="B31:C31"/>
    <mergeCell ref="B82:C82"/>
    <mergeCell ref="B47:C47"/>
    <mergeCell ref="A51:C51"/>
    <mergeCell ref="B52:C52"/>
    <mergeCell ref="B53:C53"/>
    <mergeCell ref="B54:C54"/>
    <mergeCell ref="B55:C55"/>
    <mergeCell ref="B57:C57"/>
    <mergeCell ref="B59:C59"/>
    <mergeCell ref="B60:C60"/>
    <mergeCell ref="A76:C76"/>
    <mergeCell ref="B77:C77"/>
    <mergeCell ref="B78:C78"/>
    <mergeCell ref="A71:E71"/>
    <mergeCell ref="A72:C72"/>
    <mergeCell ref="B73:C73"/>
  </mergeCells>
  <printOptions horizontalCentered="1"/>
  <pageMargins left="0.98425196850393704" right="0.98425196850393704" top="0.98425196850393704" bottom="0.98425196850393704" header="0.31496062992125984" footer="0.31496062992125984"/>
  <pageSetup paperSize="9" scale="75" orientation="portrait" verticalDpi="200" r:id="rId1"/>
  <headerFooter>
    <oddHeader>&amp;L&amp;G&amp;R&amp;G</oddHead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B40722-8B29-4984-AE50-F4B0FBD17A8A}">
  <sheetPr codeName="Planilha9"/>
  <dimension ref="A1:H65"/>
  <sheetViews>
    <sheetView view="pageBreakPreview" zoomScaleSheetLayoutView="100" workbookViewId="0"/>
  </sheetViews>
  <sheetFormatPr defaultRowHeight="15" x14ac:dyDescent="0.25"/>
  <cols>
    <col min="1" max="1" width="15.28515625" style="73" customWidth="1"/>
    <col min="2" max="2" width="30.7109375" style="38" customWidth="1"/>
    <col min="3" max="3" width="43.140625" style="38" customWidth="1"/>
    <col min="4" max="4" width="10.7109375" style="38" customWidth="1"/>
    <col min="5" max="5" width="7.7109375" style="38" customWidth="1"/>
    <col min="6" max="6" width="3.7109375" style="37" bestFit="1" customWidth="1"/>
    <col min="7" max="16384" width="9.140625" style="38"/>
  </cols>
  <sheetData>
    <row r="1" spans="1:7" x14ac:dyDescent="0.25">
      <c r="A1" s="114" t="s">
        <v>35</v>
      </c>
      <c r="B1" s="35"/>
      <c r="C1" s="36" t="s">
        <v>36</v>
      </c>
      <c r="D1" s="441" t="s">
        <v>37</v>
      </c>
      <c r="E1" s="442"/>
    </row>
    <row r="2" spans="1:7" s="39" customFormat="1" ht="24.75" customHeight="1" x14ac:dyDescent="0.2">
      <c r="A2" s="443" t="s">
        <v>57</v>
      </c>
      <c r="B2" s="444"/>
      <c r="C2" s="117" t="s">
        <v>135</v>
      </c>
      <c r="D2" s="445">
        <v>44424</v>
      </c>
      <c r="E2" s="446"/>
      <c r="F2" s="37"/>
    </row>
    <row r="3" spans="1:7" s="41" customFormat="1" x14ac:dyDescent="0.2">
      <c r="A3" s="410"/>
      <c r="B3" s="411"/>
      <c r="C3" s="411"/>
      <c r="D3" s="447"/>
      <c r="E3" s="448"/>
      <c r="F3" s="40"/>
    </row>
    <row r="4" spans="1:7" s="45" customFormat="1" ht="18" customHeight="1" x14ac:dyDescent="0.2">
      <c r="A4" s="449" t="s">
        <v>38</v>
      </c>
      <c r="B4" s="450"/>
      <c r="C4" s="450"/>
      <c r="D4" s="42" t="s">
        <v>39</v>
      </c>
      <c r="E4" s="43" t="s">
        <v>34</v>
      </c>
      <c r="F4" s="44"/>
    </row>
    <row r="5" spans="1:7" s="47" customFormat="1" ht="12.75" x14ac:dyDescent="0.2">
      <c r="A5" s="451"/>
      <c r="B5" s="452"/>
      <c r="C5" s="452"/>
      <c r="D5" s="74"/>
      <c r="E5" s="46"/>
      <c r="F5" s="40"/>
    </row>
    <row r="6" spans="1:7" s="51" customFormat="1" ht="16.5" customHeight="1" x14ac:dyDescent="0.2">
      <c r="A6" s="416" t="s">
        <v>40</v>
      </c>
      <c r="B6" s="417"/>
      <c r="C6" s="417"/>
      <c r="D6" s="75"/>
      <c r="E6" s="48" t="s">
        <v>41</v>
      </c>
      <c r="F6" s="49" t="s">
        <v>42</v>
      </c>
      <c r="G6" s="50" t="s">
        <v>43</v>
      </c>
    </row>
    <row r="7" spans="1:7" s="41" customFormat="1" ht="24" customHeight="1" x14ac:dyDescent="0.2">
      <c r="A7" s="106" t="s">
        <v>136</v>
      </c>
      <c r="B7" s="420" t="s">
        <v>138</v>
      </c>
      <c r="C7" s="421"/>
      <c r="D7" s="53">
        <f>(2.4*2.05)</f>
        <v>4.919999999999999</v>
      </c>
      <c r="E7" s="46"/>
      <c r="F7" s="40"/>
      <c r="G7" s="54"/>
    </row>
    <row r="8" spans="1:7" s="41" customFormat="1" ht="24" customHeight="1" x14ac:dyDescent="0.2">
      <c r="A8" s="116" t="s">
        <v>137</v>
      </c>
      <c r="B8" s="420" t="s">
        <v>140</v>
      </c>
      <c r="C8" s="421"/>
      <c r="D8" s="53">
        <f>(1.9*1.8)</f>
        <v>3.42</v>
      </c>
      <c r="E8" s="46"/>
      <c r="F8" s="40"/>
      <c r="G8" s="54"/>
    </row>
    <row r="9" spans="1:7" s="41" customFormat="1" ht="24" customHeight="1" x14ac:dyDescent="0.2">
      <c r="A9" s="116" t="s">
        <v>139</v>
      </c>
      <c r="B9" s="420" t="s">
        <v>140</v>
      </c>
      <c r="C9" s="421"/>
      <c r="D9" s="53">
        <f>(1.9*1.8)</f>
        <v>3.42</v>
      </c>
      <c r="E9" s="46"/>
      <c r="F9" s="40"/>
      <c r="G9" s="54"/>
    </row>
    <row r="10" spans="1:7" s="41" customFormat="1" ht="15.75" customHeight="1" x14ac:dyDescent="0.2">
      <c r="A10" s="410"/>
      <c r="B10" s="411"/>
      <c r="C10" s="411"/>
      <c r="D10" s="411"/>
      <c r="E10" s="412"/>
      <c r="F10" s="40"/>
    </row>
    <row r="11" spans="1:7" s="51" customFormat="1" ht="16.5" customHeight="1" x14ac:dyDescent="0.2">
      <c r="A11" s="439" t="s">
        <v>44</v>
      </c>
      <c r="B11" s="440"/>
      <c r="C11" s="440"/>
      <c r="D11" s="76"/>
      <c r="E11" s="48" t="s">
        <v>45</v>
      </c>
      <c r="F11" s="49" t="s">
        <v>42</v>
      </c>
      <c r="G11" s="50"/>
    </row>
    <row r="12" spans="1:7" s="41" customFormat="1" ht="24" customHeight="1" x14ac:dyDescent="0.2">
      <c r="A12" s="106" t="s">
        <v>136</v>
      </c>
      <c r="B12" s="456" t="s">
        <v>141</v>
      </c>
      <c r="C12" s="457"/>
      <c r="D12" s="55">
        <f>(4.92*3.1) + (6.352*8.89)</f>
        <v>71.721280000000007</v>
      </c>
      <c r="E12" s="46"/>
      <c r="F12" s="40"/>
      <c r="G12" s="54"/>
    </row>
    <row r="13" spans="1:7" s="41" customFormat="1" ht="24" customHeight="1" x14ac:dyDescent="0.2">
      <c r="A13" s="116" t="s">
        <v>137</v>
      </c>
      <c r="B13" s="456" t="s">
        <v>142</v>
      </c>
      <c r="C13" s="457"/>
      <c r="D13" s="55">
        <f>(3.42*2.2) + (3.52*7.4)</f>
        <v>33.572000000000003</v>
      </c>
      <c r="E13" s="56"/>
      <c r="F13" s="40"/>
      <c r="G13" s="54"/>
    </row>
    <row r="14" spans="1:7" s="41" customFormat="1" ht="24" customHeight="1" x14ac:dyDescent="0.2">
      <c r="A14" s="106" t="s">
        <v>139</v>
      </c>
      <c r="B14" s="455" t="s">
        <v>142</v>
      </c>
      <c r="C14" s="455"/>
      <c r="D14" s="105">
        <f>(3.42*2.2) + (3.52*7.4)</f>
        <v>33.572000000000003</v>
      </c>
      <c r="E14" s="46"/>
      <c r="F14" s="40"/>
      <c r="G14" s="54"/>
    </row>
    <row r="15" spans="1:7" s="41" customFormat="1" ht="15.75" customHeight="1" x14ac:dyDescent="0.2">
      <c r="A15" s="410"/>
      <c r="B15" s="411"/>
      <c r="C15" s="411"/>
      <c r="D15" s="411"/>
      <c r="E15" s="412"/>
      <c r="F15" s="40"/>
    </row>
    <row r="16" spans="1:7" s="51" customFormat="1" ht="16.5" customHeight="1" x14ac:dyDescent="0.2">
      <c r="A16" s="439" t="s">
        <v>46</v>
      </c>
      <c r="B16" s="440"/>
      <c r="C16" s="440"/>
      <c r="D16" s="76"/>
      <c r="E16" s="48" t="s">
        <v>45</v>
      </c>
      <c r="F16" s="49" t="s">
        <v>42</v>
      </c>
      <c r="G16" s="57"/>
    </row>
    <row r="17" spans="1:8" s="41" customFormat="1" ht="24" customHeight="1" x14ac:dyDescent="0.2">
      <c r="A17" s="106" t="s">
        <v>136</v>
      </c>
      <c r="B17" s="420" t="s">
        <v>143</v>
      </c>
      <c r="C17" s="421"/>
      <c r="D17" s="55">
        <f>(6.352*8.89) + (1.11*8.89)</f>
        <v>66.337180000000004</v>
      </c>
      <c r="E17" s="46"/>
      <c r="F17" s="40"/>
      <c r="G17" s="54"/>
    </row>
    <row r="18" spans="1:8" s="41" customFormat="1" ht="24" customHeight="1" x14ac:dyDescent="0.2">
      <c r="A18" s="116" t="s">
        <v>137</v>
      </c>
      <c r="B18" s="420" t="s">
        <v>144</v>
      </c>
      <c r="C18" s="421"/>
      <c r="D18" s="55">
        <f>(3.52*7.4)</f>
        <v>26.048000000000002</v>
      </c>
      <c r="E18" s="56"/>
      <c r="F18" s="40"/>
      <c r="G18" s="54"/>
    </row>
    <row r="19" spans="1:8" s="41" customFormat="1" ht="24" customHeight="1" x14ac:dyDescent="0.2">
      <c r="A19" s="106" t="s">
        <v>139</v>
      </c>
      <c r="B19" s="421" t="s">
        <v>144</v>
      </c>
      <c r="C19" s="421"/>
      <c r="D19" s="105">
        <f>(3.52*7.4)</f>
        <v>26.048000000000002</v>
      </c>
      <c r="E19" s="46"/>
      <c r="F19" s="40"/>
      <c r="G19" s="54"/>
    </row>
    <row r="20" spans="1:8" s="41" customFormat="1" ht="15.75" customHeight="1" x14ac:dyDescent="0.2">
      <c r="A20" s="410"/>
      <c r="B20" s="411"/>
      <c r="C20" s="411"/>
      <c r="D20" s="411"/>
      <c r="E20" s="412"/>
      <c r="F20" s="40"/>
    </row>
    <row r="21" spans="1:8" s="51" customFormat="1" ht="16.5" customHeight="1" x14ac:dyDescent="0.2">
      <c r="A21" s="439" t="s">
        <v>47</v>
      </c>
      <c r="B21" s="440"/>
      <c r="C21" s="440"/>
      <c r="D21" s="75"/>
      <c r="E21" s="48" t="s">
        <v>41</v>
      </c>
      <c r="F21" s="49" t="s">
        <v>42</v>
      </c>
    </row>
    <row r="22" spans="1:8" s="41" customFormat="1" ht="24" customHeight="1" x14ac:dyDescent="0.2">
      <c r="A22" s="106" t="s">
        <v>136</v>
      </c>
      <c r="B22" s="420" t="s">
        <v>138</v>
      </c>
      <c r="C22" s="421"/>
      <c r="D22" s="53">
        <f>(2.4*2.05)</f>
        <v>4.919999999999999</v>
      </c>
      <c r="E22" s="46"/>
      <c r="F22" s="40"/>
      <c r="G22" s="54"/>
    </row>
    <row r="23" spans="1:8" s="41" customFormat="1" ht="24" customHeight="1" x14ac:dyDescent="0.2">
      <c r="A23" s="116" t="s">
        <v>137</v>
      </c>
      <c r="B23" s="420" t="s">
        <v>140</v>
      </c>
      <c r="C23" s="421"/>
      <c r="D23" s="53">
        <f>(1.9*1.8)</f>
        <v>3.42</v>
      </c>
      <c r="E23" s="46"/>
      <c r="F23" s="40"/>
      <c r="G23" s="54"/>
    </row>
    <row r="24" spans="1:8" s="41" customFormat="1" ht="24" customHeight="1" x14ac:dyDescent="0.2">
      <c r="A24" s="116" t="s">
        <v>139</v>
      </c>
      <c r="B24" s="420" t="s">
        <v>140</v>
      </c>
      <c r="C24" s="421"/>
      <c r="D24" s="53">
        <f>(1.9*1.8)</f>
        <v>3.42</v>
      </c>
      <c r="E24" s="46"/>
      <c r="F24" s="40"/>
      <c r="G24" s="54"/>
    </row>
    <row r="25" spans="1:8" s="41" customFormat="1" ht="15.75" customHeight="1" x14ac:dyDescent="0.2">
      <c r="A25" s="410"/>
      <c r="B25" s="411"/>
      <c r="C25" s="411"/>
      <c r="D25" s="411"/>
      <c r="E25" s="412"/>
      <c r="F25" s="40"/>
    </row>
    <row r="26" spans="1:8" s="51" customFormat="1" ht="16.5" customHeight="1" x14ac:dyDescent="0.2">
      <c r="A26" s="416" t="s">
        <v>48</v>
      </c>
      <c r="B26" s="417"/>
      <c r="C26" s="417"/>
      <c r="D26" s="75"/>
      <c r="E26" s="48" t="s">
        <v>45</v>
      </c>
      <c r="F26" s="49" t="s">
        <v>42</v>
      </c>
    </row>
    <row r="27" spans="1:8" s="41" customFormat="1" ht="24" customHeight="1" x14ac:dyDescent="0.2">
      <c r="A27" s="106" t="s">
        <v>136</v>
      </c>
      <c r="B27" s="420" t="s">
        <v>147</v>
      </c>
      <c r="C27" s="421"/>
      <c r="D27" s="58">
        <f>(71.72-66.34)*1.3</f>
        <v>6.9939999999999944</v>
      </c>
      <c r="E27" s="59"/>
      <c r="F27" s="40"/>
    </row>
    <row r="28" spans="1:8" s="41" customFormat="1" ht="24" customHeight="1" x14ac:dyDescent="0.2">
      <c r="A28" s="106" t="s">
        <v>137</v>
      </c>
      <c r="B28" s="420" t="s">
        <v>148</v>
      </c>
      <c r="C28" s="431"/>
      <c r="D28" s="58">
        <f>(33.57-26.05)*1.3</f>
        <v>9.7759999999999998</v>
      </c>
      <c r="E28" s="115"/>
      <c r="F28" s="40"/>
    </row>
    <row r="29" spans="1:8" s="41" customFormat="1" ht="24" customHeight="1" x14ac:dyDescent="0.2">
      <c r="A29" s="116" t="s">
        <v>139</v>
      </c>
      <c r="B29" s="420" t="s">
        <v>148</v>
      </c>
      <c r="C29" s="431"/>
      <c r="D29" s="58">
        <f>(33.57-26.05)*1.3</f>
        <v>9.7759999999999998</v>
      </c>
      <c r="E29" s="115"/>
      <c r="F29" s="40"/>
    </row>
    <row r="30" spans="1:8" s="41" customFormat="1" ht="15.75" customHeight="1" x14ac:dyDescent="0.2">
      <c r="A30" s="410"/>
      <c r="B30" s="411"/>
      <c r="C30" s="411"/>
      <c r="D30" s="411"/>
      <c r="E30" s="412"/>
      <c r="F30" s="40"/>
    </row>
    <row r="31" spans="1:8" s="51" customFormat="1" ht="16.5" customHeight="1" x14ac:dyDescent="0.2">
      <c r="A31" s="439" t="s">
        <v>49</v>
      </c>
      <c r="B31" s="440"/>
      <c r="C31" s="440"/>
      <c r="D31" s="76"/>
      <c r="E31" s="48" t="s">
        <v>41</v>
      </c>
      <c r="F31" s="49" t="s">
        <v>42</v>
      </c>
      <c r="G31" s="111"/>
      <c r="H31" s="110"/>
    </row>
    <row r="32" spans="1:8" s="41" customFormat="1" ht="24" customHeight="1" x14ac:dyDescent="0.2">
      <c r="A32" s="106" t="s">
        <v>136</v>
      </c>
      <c r="B32" s="420" t="s">
        <v>160</v>
      </c>
      <c r="C32" s="421"/>
      <c r="D32" s="53">
        <f>(7.69*2) + (8.89*2.3) +3.67</f>
        <v>39.497</v>
      </c>
      <c r="E32" s="46"/>
      <c r="F32" s="40"/>
      <c r="G32" s="109"/>
      <c r="H32" s="108"/>
    </row>
    <row r="33" spans="1:8" s="41" customFormat="1" ht="24" customHeight="1" x14ac:dyDescent="0.2">
      <c r="A33" s="116" t="s">
        <v>137</v>
      </c>
      <c r="B33" s="413" t="s">
        <v>159</v>
      </c>
      <c r="C33" s="414"/>
      <c r="D33" s="53">
        <f>(6.2*1.85) + (7.4*2.15) + 2.4</f>
        <v>29.78</v>
      </c>
      <c r="E33" s="46"/>
      <c r="F33" s="40"/>
      <c r="G33" s="109"/>
      <c r="H33" s="108"/>
    </row>
    <row r="34" spans="1:8" s="41" customFormat="1" ht="24" customHeight="1" x14ac:dyDescent="0.2">
      <c r="A34" s="116" t="s">
        <v>139</v>
      </c>
      <c r="B34" s="413" t="s">
        <v>159</v>
      </c>
      <c r="C34" s="414"/>
      <c r="D34" s="53">
        <f>(6.2*1.85) + (7.4*2.15) + 2.4</f>
        <v>29.78</v>
      </c>
      <c r="E34" s="46"/>
      <c r="F34" s="40"/>
      <c r="G34" s="109"/>
      <c r="H34" s="108"/>
    </row>
    <row r="35" spans="1:8" s="41" customFormat="1" ht="15.75" customHeight="1" x14ac:dyDescent="0.2">
      <c r="A35" s="410"/>
      <c r="B35" s="411"/>
      <c r="C35" s="411"/>
      <c r="D35" s="411"/>
      <c r="E35" s="412"/>
      <c r="F35" s="40"/>
      <c r="G35" s="54"/>
    </row>
    <row r="36" spans="1:8" s="41" customFormat="1" ht="15.75" customHeight="1" x14ac:dyDescent="0.2">
      <c r="A36" s="439" t="s">
        <v>120</v>
      </c>
      <c r="B36" s="440"/>
      <c r="C36" s="440"/>
      <c r="D36" s="76"/>
      <c r="E36" s="48" t="s">
        <v>41</v>
      </c>
      <c r="F36" s="40" t="s">
        <v>42</v>
      </c>
      <c r="G36" s="54"/>
    </row>
    <row r="37" spans="1:8" s="41" customFormat="1" ht="24" customHeight="1" x14ac:dyDescent="0.2">
      <c r="A37" s="106" t="s">
        <v>136</v>
      </c>
      <c r="B37" s="420" t="s">
        <v>156</v>
      </c>
      <c r="C37" s="421"/>
      <c r="D37" s="53">
        <f>(1.2*1.85) + ((0.67+0.62)*2.26)</f>
        <v>5.1354000000000006</v>
      </c>
      <c r="E37" s="46"/>
      <c r="F37" s="40"/>
      <c r="G37" s="54"/>
    </row>
    <row r="38" spans="1:8" s="41" customFormat="1" ht="24" customHeight="1" x14ac:dyDescent="0.2">
      <c r="A38" s="116" t="s">
        <v>139</v>
      </c>
      <c r="B38" s="420" t="s">
        <v>157</v>
      </c>
      <c r="C38" s="421"/>
      <c r="D38" s="119">
        <f>(0.56*1.88) + (0.52*2.26)</f>
        <v>2.2279999999999998</v>
      </c>
      <c r="E38" s="46"/>
      <c r="F38" s="40"/>
      <c r="G38" s="54"/>
    </row>
    <row r="39" spans="1:8" s="41" customFormat="1" ht="24" customHeight="1" x14ac:dyDescent="0.2">
      <c r="A39" s="121" t="s">
        <v>137</v>
      </c>
      <c r="B39" s="420" t="s">
        <v>158</v>
      </c>
      <c r="C39" s="431"/>
      <c r="D39" s="124">
        <f>(0.09*0.4)</f>
        <v>3.5999999999999997E-2</v>
      </c>
      <c r="E39" s="46"/>
      <c r="F39" s="40"/>
      <c r="G39" s="54"/>
    </row>
    <row r="40" spans="1:8" s="41" customFormat="1" ht="15.75" customHeight="1" x14ac:dyDescent="0.2">
      <c r="A40" s="410"/>
      <c r="B40" s="411"/>
      <c r="C40" s="411"/>
      <c r="D40" s="411"/>
      <c r="E40" s="412"/>
      <c r="F40" s="40"/>
      <c r="G40" s="54"/>
    </row>
    <row r="41" spans="1:8" s="41" customFormat="1" ht="15.75" customHeight="1" x14ac:dyDescent="0.2">
      <c r="A41" s="439" t="s">
        <v>215</v>
      </c>
      <c r="B41" s="440"/>
      <c r="C41" s="440"/>
      <c r="D41" s="75"/>
      <c r="E41" s="48" t="s">
        <v>45</v>
      </c>
      <c r="F41" s="40" t="s">
        <v>42</v>
      </c>
    </row>
    <row r="42" spans="1:8" s="51" customFormat="1" ht="24" customHeight="1" x14ac:dyDescent="0.2">
      <c r="A42" s="106" t="s">
        <v>136</v>
      </c>
      <c r="B42" s="420" t="s">
        <v>213</v>
      </c>
      <c r="C42" s="421"/>
      <c r="D42" s="53">
        <f>5.37*0.05</f>
        <v>0.26850000000000002</v>
      </c>
      <c r="E42" s="46"/>
      <c r="F42" s="49"/>
      <c r="G42" s="50"/>
    </row>
    <row r="43" spans="1:8" s="51" customFormat="1" ht="24" customHeight="1" x14ac:dyDescent="0.2">
      <c r="A43" s="116" t="s">
        <v>137</v>
      </c>
      <c r="B43" s="413" t="s">
        <v>214</v>
      </c>
      <c r="C43" s="414"/>
      <c r="D43" s="53">
        <f>3.8*0.05</f>
        <v>0.19</v>
      </c>
      <c r="E43" s="46"/>
      <c r="F43" s="49"/>
      <c r="G43" s="50"/>
    </row>
    <row r="44" spans="1:8" s="51" customFormat="1" ht="24" customHeight="1" x14ac:dyDescent="0.2">
      <c r="A44" s="116" t="s">
        <v>139</v>
      </c>
      <c r="B44" s="413" t="s">
        <v>214</v>
      </c>
      <c r="C44" s="414"/>
      <c r="D44" s="53">
        <f>3.8*0.05</f>
        <v>0.19</v>
      </c>
      <c r="E44" s="46"/>
      <c r="F44" s="49"/>
      <c r="G44" s="50"/>
    </row>
    <row r="45" spans="1:8" s="41" customFormat="1" x14ac:dyDescent="0.2">
      <c r="A45" s="410"/>
      <c r="B45" s="411"/>
      <c r="C45" s="411"/>
      <c r="D45" s="411"/>
      <c r="E45" s="412"/>
      <c r="F45" s="40"/>
      <c r="G45" s="54"/>
    </row>
    <row r="46" spans="1:8" s="41" customFormat="1" ht="15.75" customHeight="1" x14ac:dyDescent="0.2">
      <c r="A46" s="439" t="s">
        <v>149</v>
      </c>
      <c r="B46" s="440"/>
      <c r="C46" s="440"/>
      <c r="D46" s="75"/>
      <c r="E46" s="48" t="s">
        <v>45</v>
      </c>
      <c r="F46" s="40" t="s">
        <v>42</v>
      </c>
    </row>
    <row r="47" spans="1:8" s="41" customFormat="1" ht="24" customHeight="1" x14ac:dyDescent="0.2">
      <c r="A47" s="106" t="s">
        <v>136</v>
      </c>
      <c r="B47" s="420" t="s">
        <v>150</v>
      </c>
      <c r="C47" s="421"/>
      <c r="D47" s="53">
        <f>(1.245*2) + (4.91*0.15) + ((4.91*0.15)-(0.4*0.15)) + (0.09*0.4) + (0.025*2.26)</f>
        <v>3.9955000000000007</v>
      </c>
      <c r="E47" s="46"/>
      <c r="F47" s="40"/>
      <c r="G47" s="54"/>
    </row>
    <row r="48" spans="1:8" s="41" customFormat="1" ht="24" customHeight="1" x14ac:dyDescent="0.2">
      <c r="A48" s="116" t="s">
        <v>137</v>
      </c>
      <c r="B48" s="413" t="s">
        <v>151</v>
      </c>
      <c r="C48" s="414"/>
      <c r="D48" s="53">
        <f>(1.02*1.85) + ((3.42*0.15)-(0.4*0.15)) + (3.42*0.15) + (0.025*2.26)</f>
        <v>2.9095000000000004</v>
      </c>
      <c r="E48" s="46"/>
      <c r="F48" s="40"/>
      <c r="G48" s="54"/>
    </row>
    <row r="49" spans="1:7" s="41" customFormat="1" ht="24" customHeight="1" x14ac:dyDescent="0.2">
      <c r="A49" s="116" t="s">
        <v>139</v>
      </c>
      <c r="B49" s="420" t="s">
        <v>152</v>
      </c>
      <c r="C49" s="421"/>
      <c r="D49" s="53">
        <f>(1.02*1.85) + ((3.42*0.15)-(0.4*0.15)) + (3.42*0.15) + (0.04*0.4) + (0.025*2.26)</f>
        <v>2.9255000000000004</v>
      </c>
      <c r="E49" s="46"/>
      <c r="F49" s="40"/>
      <c r="G49" s="54"/>
    </row>
    <row r="50" spans="1:7" s="41" customFormat="1" ht="15.75" customHeight="1" x14ac:dyDescent="0.2">
      <c r="A50" s="410"/>
      <c r="B50" s="411"/>
      <c r="C50" s="411"/>
      <c r="D50" s="411"/>
      <c r="E50" s="412"/>
      <c r="F50" s="40"/>
      <c r="G50" s="54"/>
    </row>
    <row r="51" spans="1:7" s="41" customFormat="1" ht="15.75" customHeight="1" x14ac:dyDescent="0.2">
      <c r="A51" s="416" t="s">
        <v>50</v>
      </c>
      <c r="B51" s="417"/>
      <c r="C51" s="417"/>
      <c r="D51" s="76"/>
      <c r="E51" s="48" t="s">
        <v>51</v>
      </c>
      <c r="F51" s="40" t="s">
        <v>42</v>
      </c>
    </row>
    <row r="52" spans="1:7" s="51" customFormat="1" ht="24" customHeight="1" x14ac:dyDescent="0.2">
      <c r="A52" s="106" t="s">
        <v>136</v>
      </c>
      <c r="B52" s="413" t="s">
        <v>153</v>
      </c>
      <c r="C52" s="415"/>
      <c r="D52" s="61">
        <f>4*80</f>
        <v>320</v>
      </c>
      <c r="E52" s="59"/>
      <c r="F52" s="49"/>
      <c r="G52" s="62"/>
    </row>
    <row r="53" spans="1:7" s="51" customFormat="1" ht="24" customHeight="1" x14ac:dyDescent="0.2">
      <c r="A53" s="116" t="s">
        <v>137</v>
      </c>
      <c r="B53" s="413" t="s">
        <v>154</v>
      </c>
      <c r="C53" s="414"/>
      <c r="D53" s="61">
        <f t="shared" ref="D53:D54" si="0">D48*80</f>
        <v>232.76000000000005</v>
      </c>
      <c r="E53" s="115"/>
      <c r="F53" s="49"/>
      <c r="G53" s="62"/>
    </row>
    <row r="54" spans="1:7" s="41" customFormat="1" ht="24" customHeight="1" x14ac:dyDescent="0.2">
      <c r="A54" s="116" t="s">
        <v>139</v>
      </c>
      <c r="B54" s="413" t="s">
        <v>155</v>
      </c>
      <c r="C54" s="415"/>
      <c r="D54" s="61">
        <f t="shared" si="0"/>
        <v>234.04000000000002</v>
      </c>
      <c r="E54" s="115"/>
      <c r="F54" s="40"/>
    </row>
    <row r="55" spans="1:7" s="41" customFormat="1" ht="15.75" customHeight="1" x14ac:dyDescent="0.2">
      <c r="A55" s="410"/>
      <c r="B55" s="411"/>
      <c r="C55" s="411"/>
      <c r="D55" s="411"/>
      <c r="E55" s="412"/>
      <c r="F55" s="40"/>
    </row>
    <row r="56" spans="1:7" s="41" customFormat="1" x14ac:dyDescent="0.2">
      <c r="A56" s="422" t="s">
        <v>52</v>
      </c>
      <c r="B56" s="423"/>
      <c r="C56" s="423"/>
      <c r="D56" s="75"/>
      <c r="E56" s="48" t="s">
        <v>45</v>
      </c>
      <c r="F56" s="40" t="s">
        <v>42</v>
      </c>
    </row>
    <row r="57" spans="1:7" s="51" customFormat="1" ht="24" customHeight="1" x14ac:dyDescent="0.2">
      <c r="A57" s="106" t="s">
        <v>136</v>
      </c>
      <c r="B57" s="413" t="s">
        <v>145</v>
      </c>
      <c r="C57" s="415"/>
      <c r="D57" s="65">
        <f>(3.67-0.4)*2</f>
        <v>6.54</v>
      </c>
      <c r="E57" s="64"/>
      <c r="F57" s="49"/>
    </row>
    <row r="58" spans="1:7" s="41" customFormat="1" ht="24" customHeight="1" x14ac:dyDescent="0.2">
      <c r="A58" s="116" t="s">
        <v>137</v>
      </c>
      <c r="B58" s="413" t="s">
        <v>146</v>
      </c>
      <c r="C58" s="415"/>
      <c r="D58" s="65">
        <f>(2.4-0.4)*1.85</f>
        <v>3.7</v>
      </c>
      <c r="E58" s="64"/>
      <c r="F58" s="40"/>
      <c r="G58" s="54"/>
    </row>
    <row r="59" spans="1:7" s="41" customFormat="1" ht="24" customHeight="1" x14ac:dyDescent="0.2">
      <c r="A59" s="116" t="s">
        <v>139</v>
      </c>
      <c r="B59" s="413" t="s">
        <v>146</v>
      </c>
      <c r="C59" s="414"/>
      <c r="D59" s="120">
        <f>(2.4-0.4)*1.85</f>
        <v>3.7</v>
      </c>
      <c r="E59" s="64"/>
      <c r="F59" s="40"/>
      <c r="G59" s="54"/>
    </row>
    <row r="60" spans="1:7" s="41" customFormat="1" ht="15.75" customHeight="1" x14ac:dyDescent="0.2">
      <c r="A60" s="410"/>
      <c r="B60" s="411"/>
      <c r="C60" s="411"/>
      <c r="D60" s="411"/>
      <c r="E60" s="412"/>
      <c r="F60" s="40"/>
      <c r="G60" s="54"/>
    </row>
    <row r="61" spans="1:7" s="41" customFormat="1" x14ac:dyDescent="0.2">
      <c r="A61" s="418" t="s">
        <v>53</v>
      </c>
      <c r="B61" s="419"/>
      <c r="C61" s="419"/>
      <c r="D61" s="75"/>
      <c r="E61" s="66" t="s">
        <v>41</v>
      </c>
      <c r="F61" s="40" t="s">
        <v>42</v>
      </c>
    </row>
    <row r="62" spans="1:7" s="51" customFormat="1" ht="24" customHeight="1" x14ac:dyDescent="0.2">
      <c r="A62" s="106" t="s">
        <v>136</v>
      </c>
      <c r="B62" s="420" t="s">
        <v>161</v>
      </c>
      <c r="C62" s="421"/>
      <c r="D62" s="53">
        <f>(7.7*1.95) + (8.89*2.3) + (3.67*2)  + (4.91*2) + (0.67*2.26) + (1.16*1.88)</f>
        <v>56.317000000000007</v>
      </c>
      <c r="E62" s="46"/>
      <c r="F62" s="49"/>
    </row>
    <row r="63" spans="1:7" s="41" customFormat="1" ht="24" customHeight="1" x14ac:dyDescent="0.2">
      <c r="A63" s="106" t="s">
        <v>137</v>
      </c>
      <c r="B63" s="420" t="s">
        <v>162</v>
      </c>
      <c r="C63" s="421"/>
      <c r="D63" s="53">
        <f>(6.2*1.85) + (7.4*2.15) + (2.4*2) + (3.42*2)</f>
        <v>39.019999999999996</v>
      </c>
      <c r="E63" s="46"/>
      <c r="F63" s="40"/>
      <c r="G63" s="54"/>
    </row>
    <row r="64" spans="1:7" s="41" customFormat="1" ht="24" customHeight="1" x14ac:dyDescent="0.2">
      <c r="A64" s="116" t="s">
        <v>139</v>
      </c>
      <c r="B64" s="420" t="s">
        <v>163</v>
      </c>
      <c r="C64" s="431"/>
      <c r="D64" s="53">
        <f>(6.2*1.85) + (7.4*2.15) + (2.4*2) + (3.42*2) + (0.52*2.26) + (0.41*1.88)</f>
        <v>40.965999999999994</v>
      </c>
      <c r="E64" s="46"/>
      <c r="F64" s="40"/>
      <c r="G64" s="54"/>
    </row>
    <row r="65" spans="1:7" s="41" customFormat="1" ht="15.75" customHeight="1" x14ac:dyDescent="0.2">
      <c r="A65" s="410"/>
      <c r="B65" s="411"/>
      <c r="C65" s="411"/>
      <c r="D65" s="411"/>
      <c r="E65" s="412"/>
      <c r="F65" s="40"/>
      <c r="G65" s="54"/>
    </row>
  </sheetData>
  <mergeCells count="66">
    <mergeCell ref="B28:C28"/>
    <mergeCell ref="B29:C29"/>
    <mergeCell ref="A65:E65"/>
    <mergeCell ref="B58:C58"/>
    <mergeCell ref="A60:E60"/>
    <mergeCell ref="A61:C61"/>
    <mergeCell ref="B62:C62"/>
    <mergeCell ref="B63:C63"/>
    <mergeCell ref="B64:C64"/>
    <mergeCell ref="B59:C59"/>
    <mergeCell ref="A55:E55"/>
    <mergeCell ref="A56:C56"/>
    <mergeCell ref="B57:C57"/>
    <mergeCell ref="A50:E50"/>
    <mergeCell ref="A51:C51"/>
    <mergeCell ref="B52:C52"/>
    <mergeCell ref="B42:C42"/>
    <mergeCell ref="B54:C54"/>
    <mergeCell ref="B53:C53"/>
    <mergeCell ref="B48:C48"/>
    <mergeCell ref="B49:C49"/>
    <mergeCell ref="B47:C47"/>
    <mergeCell ref="A45:E45"/>
    <mergeCell ref="A46:C46"/>
    <mergeCell ref="B43:C43"/>
    <mergeCell ref="B44:C44"/>
    <mergeCell ref="A30:E30"/>
    <mergeCell ref="A31:C31"/>
    <mergeCell ref="B32:C32"/>
    <mergeCell ref="B33:C33"/>
    <mergeCell ref="B34:C34"/>
    <mergeCell ref="A36:C36"/>
    <mergeCell ref="B37:C37"/>
    <mergeCell ref="A40:E40"/>
    <mergeCell ref="B38:C38"/>
    <mergeCell ref="B39:C39"/>
    <mergeCell ref="A41:C41"/>
    <mergeCell ref="B27:C27"/>
    <mergeCell ref="B23:C23"/>
    <mergeCell ref="B24:C24"/>
    <mergeCell ref="B14:C14"/>
    <mergeCell ref="A15:E15"/>
    <mergeCell ref="A16:C16"/>
    <mergeCell ref="B17:C17"/>
    <mergeCell ref="B18:C18"/>
    <mergeCell ref="B19:C19"/>
    <mergeCell ref="A20:E20"/>
    <mergeCell ref="A21:C21"/>
    <mergeCell ref="B22:C22"/>
    <mergeCell ref="A25:E25"/>
    <mergeCell ref="A26:C26"/>
    <mergeCell ref="A35:E35"/>
    <mergeCell ref="B13:C13"/>
    <mergeCell ref="B8:C8"/>
    <mergeCell ref="B9:C9"/>
    <mergeCell ref="D1:E1"/>
    <mergeCell ref="A2:B2"/>
    <mergeCell ref="D2:E2"/>
    <mergeCell ref="A3:E3"/>
    <mergeCell ref="A4:C4"/>
    <mergeCell ref="A5:C5"/>
    <mergeCell ref="A6:C6"/>
    <mergeCell ref="B7:C7"/>
    <mergeCell ref="A10:E10"/>
    <mergeCell ref="A11:C11"/>
    <mergeCell ref="B12:C12"/>
  </mergeCells>
  <printOptions horizontalCentered="1"/>
  <pageMargins left="0.98425196850393704" right="0.98425196850393704" top="0.98425196850393704" bottom="0.98425196850393704" header="0.31496062992125984" footer="0.31496062992125984"/>
  <pageSetup paperSize="9" scale="75" orientation="portrait" verticalDpi="200" r:id="rId1"/>
  <headerFooter>
    <oddHeader>&amp;L&amp;G&amp;R&amp;G</oddHead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1DC96F-0996-49C1-AA9F-E8D7336B3C2B}">
  <sheetPr codeName="Planilha10"/>
  <dimension ref="A1:H116"/>
  <sheetViews>
    <sheetView view="pageBreakPreview" zoomScaleSheetLayoutView="100" workbookViewId="0"/>
  </sheetViews>
  <sheetFormatPr defaultRowHeight="15" x14ac:dyDescent="0.25"/>
  <cols>
    <col min="1" max="1" width="15.28515625" style="73" customWidth="1"/>
    <col min="2" max="2" width="30.7109375" style="38" customWidth="1"/>
    <col min="3" max="3" width="43.140625" style="38" customWidth="1"/>
    <col min="4" max="4" width="10.7109375" style="38" customWidth="1"/>
    <col min="5" max="5" width="7.7109375" style="38" customWidth="1"/>
    <col min="6" max="6" width="3.7109375" style="37" bestFit="1" customWidth="1"/>
    <col min="7" max="16384" width="9.140625" style="38"/>
  </cols>
  <sheetData>
    <row r="1" spans="1:7" x14ac:dyDescent="0.25">
      <c r="A1" s="127" t="s">
        <v>35</v>
      </c>
      <c r="B1" s="35"/>
      <c r="C1" s="36" t="s">
        <v>36</v>
      </c>
      <c r="D1" s="441" t="s">
        <v>37</v>
      </c>
      <c r="E1" s="442"/>
    </row>
    <row r="2" spans="1:7" s="39" customFormat="1" ht="24.75" customHeight="1" x14ac:dyDescent="0.2">
      <c r="A2" s="443" t="s">
        <v>57</v>
      </c>
      <c r="B2" s="444"/>
      <c r="C2" s="128" t="s">
        <v>728</v>
      </c>
      <c r="D2" s="445">
        <v>44424</v>
      </c>
      <c r="E2" s="446"/>
      <c r="F2" s="37"/>
    </row>
    <row r="3" spans="1:7" s="41" customFormat="1" x14ac:dyDescent="0.2">
      <c r="A3" s="410"/>
      <c r="B3" s="411"/>
      <c r="C3" s="411"/>
      <c r="D3" s="447"/>
      <c r="E3" s="448"/>
      <c r="F3" s="40"/>
    </row>
    <row r="4" spans="1:7" s="45" customFormat="1" ht="18" customHeight="1" x14ac:dyDescent="0.2">
      <c r="A4" s="449" t="s">
        <v>38</v>
      </c>
      <c r="B4" s="450"/>
      <c r="C4" s="450"/>
      <c r="D4" s="42" t="s">
        <v>39</v>
      </c>
      <c r="E4" s="43" t="s">
        <v>34</v>
      </c>
      <c r="F4" s="44"/>
    </row>
    <row r="5" spans="1:7" s="47" customFormat="1" ht="12.75" x14ac:dyDescent="0.2">
      <c r="A5" s="451"/>
      <c r="B5" s="452"/>
      <c r="C5" s="452"/>
      <c r="D5" s="74"/>
      <c r="E5" s="46"/>
      <c r="F5" s="40"/>
    </row>
    <row r="6" spans="1:7" s="51" customFormat="1" ht="16.5" customHeight="1" x14ac:dyDescent="0.2">
      <c r="A6" s="416" t="s">
        <v>40</v>
      </c>
      <c r="B6" s="417"/>
      <c r="C6" s="417"/>
      <c r="D6" s="75">
        <f>SUM(D7:D8)</f>
        <v>20.855135999999998</v>
      </c>
      <c r="E6" s="48" t="s">
        <v>41</v>
      </c>
      <c r="F6" s="49" t="s">
        <v>42</v>
      </c>
      <c r="G6" s="50" t="s">
        <v>43</v>
      </c>
    </row>
    <row r="7" spans="1:7" s="41" customFormat="1" ht="15.75" customHeight="1" x14ac:dyDescent="0.2">
      <c r="A7" s="52"/>
      <c r="B7" s="420">
        <v>19.739999999999998</v>
      </c>
      <c r="C7" s="421"/>
      <c r="D7" s="53">
        <f>19.74</f>
        <v>19.739999999999998</v>
      </c>
      <c r="E7" s="46"/>
      <c r="F7" s="40"/>
      <c r="G7" s="54"/>
    </row>
    <row r="8" spans="1:7" s="41" customFormat="1" ht="15.75" customHeight="1" x14ac:dyDescent="0.2">
      <c r="A8" s="52" t="s">
        <v>729</v>
      </c>
      <c r="B8" s="413" t="s">
        <v>735</v>
      </c>
      <c r="C8" s="414"/>
      <c r="D8" s="53">
        <f>1.056*1.056</f>
        <v>1.1151360000000001</v>
      </c>
      <c r="E8" s="56"/>
      <c r="F8" s="40"/>
      <c r="G8" s="54"/>
    </row>
    <row r="9" spans="1:7" s="41" customFormat="1" ht="15.75" customHeight="1" x14ac:dyDescent="0.2">
      <c r="A9" s="410"/>
      <c r="B9" s="411"/>
      <c r="C9" s="411"/>
      <c r="D9" s="411"/>
      <c r="E9" s="412"/>
      <c r="F9" s="40"/>
    </row>
    <row r="10" spans="1:7" s="51" customFormat="1" ht="16.5" customHeight="1" x14ac:dyDescent="0.2">
      <c r="A10" s="439" t="s">
        <v>44</v>
      </c>
      <c r="B10" s="440"/>
      <c r="C10" s="440"/>
      <c r="D10" s="76">
        <f>SUM(D11:D12)*1.05</f>
        <v>11.953619999999999</v>
      </c>
      <c r="E10" s="48" t="s">
        <v>45</v>
      </c>
      <c r="F10" s="49" t="s">
        <v>42</v>
      </c>
      <c r="G10" s="50" t="s">
        <v>43</v>
      </c>
    </row>
    <row r="11" spans="1:7" s="41" customFormat="1" ht="15" customHeight="1" x14ac:dyDescent="0.2">
      <c r="A11" s="106" t="s">
        <v>172</v>
      </c>
      <c r="B11" s="453" t="s">
        <v>672</v>
      </c>
      <c r="C11" s="454"/>
      <c r="D11" s="55">
        <f>29.64*0.35</f>
        <v>10.373999999999999</v>
      </c>
      <c r="E11" s="46"/>
      <c r="F11" s="40"/>
      <c r="G11" s="54"/>
    </row>
    <row r="12" spans="1:7" s="41" customFormat="1" ht="15" customHeight="1" x14ac:dyDescent="0.2">
      <c r="A12" s="52" t="s">
        <v>729</v>
      </c>
      <c r="B12" s="413" t="s">
        <v>736</v>
      </c>
      <c r="C12" s="414"/>
      <c r="D12" s="53">
        <f>(0.12*4.22) + (1.12*0.45)</f>
        <v>1.0104000000000002</v>
      </c>
      <c r="E12" s="56"/>
      <c r="F12" s="40"/>
      <c r="G12" s="54"/>
    </row>
    <row r="13" spans="1:7" s="41" customFormat="1" ht="15.75" customHeight="1" x14ac:dyDescent="0.2">
      <c r="A13" s="410"/>
      <c r="B13" s="411"/>
      <c r="C13" s="411"/>
      <c r="D13" s="411"/>
      <c r="E13" s="412"/>
      <c r="F13" s="40"/>
    </row>
    <row r="14" spans="1:7" s="51" customFormat="1" ht="16.5" customHeight="1" x14ac:dyDescent="0.2">
      <c r="A14" s="439" t="s">
        <v>46</v>
      </c>
      <c r="B14" s="440"/>
      <c r="C14" s="440"/>
      <c r="D14" s="76">
        <f>SUM(D15:D16)</f>
        <v>10.4674</v>
      </c>
      <c r="E14" s="48" t="s">
        <v>45</v>
      </c>
      <c r="F14" s="49" t="s">
        <v>42</v>
      </c>
      <c r="G14" s="57"/>
    </row>
    <row r="15" spans="1:7" s="41" customFormat="1" ht="15" customHeight="1" x14ac:dyDescent="0.2">
      <c r="A15" s="106" t="s">
        <v>172</v>
      </c>
      <c r="B15" s="413" t="s">
        <v>673</v>
      </c>
      <c r="C15" s="415"/>
      <c r="D15" s="55">
        <f>((29.64-19.74)*0.35) + (16.24*0.4)</f>
        <v>9.9610000000000003</v>
      </c>
      <c r="E15" s="46"/>
      <c r="F15" s="40"/>
      <c r="G15" s="54"/>
    </row>
    <row r="16" spans="1:7" s="41" customFormat="1" ht="15" customHeight="1" x14ac:dyDescent="0.2">
      <c r="A16" s="52" t="s">
        <v>729</v>
      </c>
      <c r="B16" s="413" t="s">
        <v>734</v>
      </c>
      <c r="C16" s="414"/>
      <c r="D16" s="53">
        <f>(0.12*4.22)</f>
        <v>0.50639999999999996</v>
      </c>
      <c r="E16" s="56"/>
      <c r="F16" s="40"/>
      <c r="G16" s="54"/>
    </row>
    <row r="17" spans="1:8" s="41" customFormat="1" ht="15.75" customHeight="1" x14ac:dyDescent="0.2">
      <c r="A17" s="410"/>
      <c r="B17" s="411"/>
      <c r="C17" s="411"/>
      <c r="D17" s="411"/>
      <c r="E17" s="412"/>
      <c r="F17" s="40"/>
    </row>
    <row r="18" spans="1:8" s="51" customFormat="1" ht="16.5" customHeight="1" x14ac:dyDescent="0.2">
      <c r="A18" s="439" t="s">
        <v>47</v>
      </c>
      <c r="B18" s="440"/>
      <c r="C18" s="440"/>
      <c r="D18" s="75">
        <f>SUM(D19:D20)</f>
        <v>20.855135999999998</v>
      </c>
      <c r="E18" s="48" t="s">
        <v>41</v>
      </c>
      <c r="F18" s="49" t="s">
        <v>42</v>
      </c>
    </row>
    <row r="19" spans="1:8" s="41" customFormat="1" x14ac:dyDescent="0.2">
      <c r="A19" s="52"/>
      <c r="B19" s="420">
        <v>19.739999999999998</v>
      </c>
      <c r="C19" s="421"/>
      <c r="D19" s="53">
        <f>19.74</f>
        <v>19.739999999999998</v>
      </c>
      <c r="E19" s="46"/>
      <c r="F19" s="40"/>
      <c r="G19" s="54"/>
    </row>
    <row r="20" spans="1:8" s="41" customFormat="1" x14ac:dyDescent="0.2">
      <c r="A20" s="52" t="s">
        <v>729</v>
      </c>
      <c r="B20" s="413" t="s">
        <v>735</v>
      </c>
      <c r="C20" s="414"/>
      <c r="D20" s="53">
        <f>1.056*1.056</f>
        <v>1.1151360000000001</v>
      </c>
      <c r="E20" s="56"/>
      <c r="F20" s="40"/>
      <c r="G20" s="54"/>
    </row>
    <row r="21" spans="1:8" s="41" customFormat="1" ht="15.75" customHeight="1" x14ac:dyDescent="0.2">
      <c r="A21" s="410"/>
      <c r="B21" s="411"/>
      <c r="C21" s="411"/>
      <c r="D21" s="411"/>
      <c r="E21" s="412"/>
      <c r="F21" s="40"/>
    </row>
    <row r="22" spans="1:8" s="51" customFormat="1" ht="16.5" customHeight="1" x14ac:dyDescent="0.2">
      <c r="A22" s="416" t="s">
        <v>48</v>
      </c>
      <c r="B22" s="417"/>
      <c r="C22" s="417"/>
      <c r="D22" s="75">
        <f>SUM(D23:D23)</f>
        <v>1.9239999999999984</v>
      </c>
      <c r="E22" s="48" t="s">
        <v>45</v>
      </c>
      <c r="F22" s="49" t="s">
        <v>42</v>
      </c>
    </row>
    <row r="23" spans="1:8" s="41" customFormat="1" ht="15" customHeight="1" x14ac:dyDescent="0.2">
      <c r="A23" s="106" t="s">
        <v>172</v>
      </c>
      <c r="B23" s="413" t="s">
        <v>737</v>
      </c>
      <c r="C23" s="415"/>
      <c r="D23" s="58">
        <f>(11.95-10.47)*1.3</f>
        <v>1.9239999999999984</v>
      </c>
      <c r="E23" s="59"/>
      <c r="F23" s="40"/>
    </row>
    <row r="24" spans="1:8" s="41" customFormat="1" ht="15.75" customHeight="1" x14ac:dyDescent="0.2">
      <c r="A24" s="410"/>
      <c r="B24" s="411"/>
      <c r="C24" s="411"/>
      <c r="D24" s="411"/>
      <c r="E24" s="412"/>
      <c r="F24" s="40"/>
    </row>
    <row r="25" spans="1:8" s="51" customFormat="1" ht="16.5" customHeight="1" x14ac:dyDescent="0.2">
      <c r="A25" s="439" t="s">
        <v>49</v>
      </c>
      <c r="B25" s="440"/>
      <c r="C25" s="440"/>
      <c r="D25" s="76">
        <f>SUM(D26:D30)</f>
        <v>83.383499999999998</v>
      </c>
      <c r="E25" s="48" t="s">
        <v>41</v>
      </c>
      <c r="F25" s="49" t="s">
        <v>42</v>
      </c>
      <c r="G25" s="111"/>
      <c r="H25" s="110"/>
    </row>
    <row r="26" spans="1:8" s="41" customFormat="1" ht="15" customHeight="1" x14ac:dyDescent="0.2">
      <c r="A26" s="52" t="s">
        <v>87</v>
      </c>
      <c r="B26" s="420" t="s">
        <v>696</v>
      </c>
      <c r="C26" s="421"/>
      <c r="D26" s="53">
        <f>(4.2*4.1) + (0.45*17.8)</f>
        <v>25.229999999999997</v>
      </c>
      <c r="E26" s="46"/>
      <c r="F26" s="40"/>
      <c r="G26" s="109"/>
      <c r="H26" s="108"/>
    </row>
    <row r="27" spans="1:8" s="41" customFormat="1" ht="15" customHeight="1" x14ac:dyDescent="0.2">
      <c r="A27" s="52" t="s">
        <v>94</v>
      </c>
      <c r="B27" s="413" t="s">
        <v>775</v>
      </c>
      <c r="C27" s="414"/>
      <c r="D27" s="53">
        <f>(1.2*6.3*4)</f>
        <v>30.24</v>
      </c>
      <c r="E27" s="46"/>
      <c r="F27" s="40"/>
      <c r="G27" s="109"/>
      <c r="H27" s="108"/>
    </row>
    <row r="28" spans="1:8" s="41" customFormat="1" ht="15" customHeight="1" x14ac:dyDescent="0.2">
      <c r="A28" s="52" t="s">
        <v>772</v>
      </c>
      <c r="B28" s="413" t="s">
        <v>773</v>
      </c>
      <c r="C28" s="414"/>
      <c r="D28" s="53">
        <f>(2.4*0.5*4)</f>
        <v>4.8</v>
      </c>
      <c r="E28" s="56"/>
      <c r="F28" s="40"/>
      <c r="G28" s="109"/>
      <c r="H28" s="108"/>
    </row>
    <row r="29" spans="1:8" s="41" customFormat="1" ht="15" customHeight="1" x14ac:dyDescent="0.2">
      <c r="A29" s="52" t="s">
        <v>750</v>
      </c>
      <c r="B29" s="413" t="s">
        <v>777</v>
      </c>
      <c r="C29" s="414"/>
      <c r="D29" s="53">
        <f>(1.15*3.8) + (0.95*4.15) + (1.15*3.3) + (0.95*4.1) + (0.95*3.6)</f>
        <v>19.422499999999999</v>
      </c>
      <c r="E29" s="56"/>
      <c r="F29" s="40"/>
      <c r="G29" s="109"/>
      <c r="H29" s="108"/>
    </row>
    <row r="30" spans="1:8" s="41" customFormat="1" ht="15" customHeight="1" x14ac:dyDescent="0.2">
      <c r="A30" s="52" t="s">
        <v>729</v>
      </c>
      <c r="B30" s="413" t="s">
        <v>730</v>
      </c>
      <c r="C30" s="414"/>
      <c r="D30" s="53">
        <f>(4.22*0.4) + (3.02*0.35) + 0.77 + (3.52*0.05)</f>
        <v>3.6910000000000003</v>
      </c>
      <c r="E30" s="56"/>
      <c r="F30" s="40"/>
      <c r="G30" s="109"/>
      <c r="H30" s="108"/>
    </row>
    <row r="31" spans="1:8" s="41" customFormat="1" x14ac:dyDescent="0.2">
      <c r="A31" s="410"/>
      <c r="B31" s="411"/>
      <c r="C31" s="411"/>
      <c r="D31" s="411"/>
      <c r="E31" s="412"/>
      <c r="F31" s="40"/>
      <c r="G31" s="54"/>
    </row>
    <row r="32" spans="1:8" s="41" customFormat="1" ht="15.75" customHeight="1" x14ac:dyDescent="0.2">
      <c r="A32" s="439" t="s">
        <v>149</v>
      </c>
      <c r="B32" s="440"/>
      <c r="C32" s="440"/>
      <c r="D32" s="75">
        <f>SUM(D33:D38)</f>
        <v>7.8680999999999992</v>
      </c>
      <c r="E32" s="48" t="s">
        <v>45</v>
      </c>
      <c r="F32" s="40" t="s">
        <v>42</v>
      </c>
    </row>
    <row r="33" spans="1:7" s="41" customFormat="1" ht="15" customHeight="1" x14ac:dyDescent="0.2">
      <c r="A33" s="52" t="s">
        <v>828</v>
      </c>
      <c r="B33" s="420" t="s">
        <v>831</v>
      </c>
      <c r="C33" s="421"/>
      <c r="D33" s="53">
        <f>(0.54*4.1)</f>
        <v>2.214</v>
      </c>
      <c r="E33" s="46"/>
      <c r="F33" s="40"/>
      <c r="G33" s="54"/>
    </row>
    <row r="34" spans="1:7" s="41" customFormat="1" ht="15" customHeight="1" x14ac:dyDescent="0.2">
      <c r="A34" s="52" t="s">
        <v>87</v>
      </c>
      <c r="B34" s="420" t="s">
        <v>832</v>
      </c>
      <c r="C34" s="421"/>
      <c r="D34" s="53">
        <f>(19.74*0.04)</f>
        <v>0.78959999999999997</v>
      </c>
      <c r="E34" s="46"/>
      <c r="F34" s="40"/>
      <c r="G34" s="54"/>
    </row>
    <row r="35" spans="1:7" s="41" customFormat="1" x14ac:dyDescent="0.2">
      <c r="A35" s="52" t="s">
        <v>94</v>
      </c>
      <c r="B35" s="413" t="s">
        <v>776</v>
      </c>
      <c r="C35" s="415"/>
      <c r="D35" s="53">
        <f>(0.09*6.3*4)</f>
        <v>2.2679999999999998</v>
      </c>
      <c r="E35" s="46"/>
      <c r="F35" s="40"/>
      <c r="G35" s="54"/>
    </row>
    <row r="36" spans="1:7" s="41" customFormat="1" x14ac:dyDescent="0.2">
      <c r="A36" s="52" t="s">
        <v>750</v>
      </c>
      <c r="B36" s="413" t="s">
        <v>779</v>
      </c>
      <c r="C36" s="414"/>
      <c r="D36" s="53">
        <f>(0.1*3.8) + (0.06*4.15) + (0.1*3.3) + (0.075*4.1) + (0.075*3.6)</f>
        <v>1.5365</v>
      </c>
      <c r="E36" s="56"/>
      <c r="F36" s="40"/>
      <c r="G36" s="54"/>
    </row>
    <row r="37" spans="1:7" s="41" customFormat="1" x14ac:dyDescent="0.2">
      <c r="A37" s="52" t="s">
        <v>772</v>
      </c>
      <c r="B37" s="413" t="s">
        <v>774</v>
      </c>
      <c r="C37" s="414"/>
      <c r="D37" s="53">
        <f>(0.36*0.5*4)</f>
        <v>0.72</v>
      </c>
      <c r="E37" s="56"/>
      <c r="F37" s="40"/>
      <c r="G37" s="54"/>
    </row>
    <row r="38" spans="1:7" s="41" customFormat="1" x14ac:dyDescent="0.2">
      <c r="A38" s="52" t="s">
        <v>729</v>
      </c>
      <c r="B38" s="413" t="s">
        <v>731</v>
      </c>
      <c r="C38" s="414"/>
      <c r="D38" s="53">
        <f>(0.54*0.4) + (0.57*0.15) + (0.77*0.05)</f>
        <v>0.33999999999999997</v>
      </c>
      <c r="E38" s="56"/>
      <c r="F38" s="40"/>
      <c r="G38" s="54"/>
    </row>
    <row r="39" spans="1:7" s="41" customFormat="1" ht="15.75" customHeight="1" x14ac:dyDescent="0.2">
      <c r="A39" s="410"/>
      <c r="B39" s="411"/>
      <c r="C39" s="411"/>
      <c r="D39" s="411"/>
      <c r="E39" s="412"/>
      <c r="F39" s="40"/>
      <c r="G39" s="54"/>
    </row>
    <row r="40" spans="1:7" s="41" customFormat="1" ht="15.75" customHeight="1" x14ac:dyDescent="0.2">
      <c r="A40" s="416" t="s">
        <v>745</v>
      </c>
      <c r="B40" s="417"/>
      <c r="C40" s="417"/>
      <c r="D40" s="76">
        <f>SUM(D41:D46)</f>
        <v>400.09000000000003</v>
      </c>
      <c r="E40" s="48" t="s">
        <v>51</v>
      </c>
      <c r="F40" s="40"/>
      <c r="G40" s="54"/>
    </row>
    <row r="41" spans="1:7" s="41" customFormat="1" ht="15.75" customHeight="1" x14ac:dyDescent="0.2">
      <c r="A41" s="52" t="s">
        <v>87</v>
      </c>
      <c r="B41" s="413" t="s">
        <v>833</v>
      </c>
      <c r="C41" s="415"/>
      <c r="D41" s="61">
        <f>(0.79*20)</f>
        <v>15.8</v>
      </c>
      <c r="E41" s="59"/>
      <c r="F41" s="40"/>
      <c r="G41" s="54"/>
    </row>
    <row r="42" spans="1:7" s="41" customFormat="1" ht="15.75" customHeight="1" x14ac:dyDescent="0.2">
      <c r="A42" s="52" t="s">
        <v>94</v>
      </c>
      <c r="B42" s="413">
        <v>164</v>
      </c>
      <c r="C42" s="415"/>
      <c r="D42" s="61">
        <f>164</f>
        <v>164</v>
      </c>
      <c r="E42" s="290"/>
      <c r="F42" s="40"/>
      <c r="G42" s="54"/>
    </row>
    <row r="43" spans="1:7" s="41" customFormat="1" ht="15.75" customHeight="1" x14ac:dyDescent="0.2">
      <c r="A43" s="52" t="s">
        <v>750</v>
      </c>
      <c r="B43" s="413" t="s">
        <v>781</v>
      </c>
      <c r="C43" s="415"/>
      <c r="D43" s="61">
        <f>80+48</f>
        <v>128</v>
      </c>
      <c r="E43" s="290"/>
      <c r="F43" s="40"/>
      <c r="G43" s="54"/>
    </row>
    <row r="44" spans="1:7" s="41" customFormat="1" ht="15.75" customHeight="1" x14ac:dyDescent="0.2">
      <c r="A44" s="52" t="s">
        <v>772</v>
      </c>
      <c r="B44" s="413">
        <v>29</v>
      </c>
      <c r="C44" s="415"/>
      <c r="D44" s="61">
        <f>29</f>
        <v>29</v>
      </c>
      <c r="E44" s="290"/>
      <c r="F44" s="40"/>
      <c r="G44" s="54"/>
    </row>
    <row r="45" spans="1:7" s="41" customFormat="1" ht="15.75" customHeight="1" x14ac:dyDescent="0.2">
      <c r="A45" s="52" t="s">
        <v>782</v>
      </c>
      <c r="B45" s="413">
        <v>46.29</v>
      </c>
      <c r="C45" s="415"/>
      <c r="D45" s="61">
        <f>46.29</f>
        <v>46.29</v>
      </c>
      <c r="E45" s="290"/>
      <c r="F45" s="40"/>
      <c r="G45" s="54"/>
    </row>
    <row r="46" spans="1:7" s="41" customFormat="1" ht="15.75" customHeight="1" x14ac:dyDescent="0.2">
      <c r="A46" s="52" t="s">
        <v>729</v>
      </c>
      <c r="B46" s="413" t="s">
        <v>783</v>
      </c>
      <c r="C46" s="415"/>
      <c r="D46" s="61">
        <f>0.34*50</f>
        <v>17</v>
      </c>
      <c r="E46" s="290"/>
      <c r="F46" s="40"/>
      <c r="G46" s="54"/>
    </row>
    <row r="47" spans="1:7" s="41" customFormat="1" ht="15.75" customHeight="1" x14ac:dyDescent="0.2">
      <c r="A47" s="410"/>
      <c r="B47" s="411"/>
      <c r="C47" s="411"/>
      <c r="D47" s="411"/>
      <c r="E47" s="412"/>
      <c r="F47" s="40"/>
      <c r="G47" s="54"/>
    </row>
    <row r="48" spans="1:7" s="41" customFormat="1" ht="15.75" customHeight="1" x14ac:dyDescent="0.2">
      <c r="A48" s="416" t="s">
        <v>746</v>
      </c>
      <c r="B48" s="417"/>
      <c r="C48" s="417"/>
      <c r="D48" s="76">
        <f>SUM(D49:D50)</f>
        <v>23</v>
      </c>
      <c r="E48" s="48" t="s">
        <v>51</v>
      </c>
      <c r="F48" s="40"/>
    </row>
    <row r="49" spans="1:7" s="51" customFormat="1" ht="16.5" customHeight="1" x14ac:dyDescent="0.2">
      <c r="A49" s="52" t="s">
        <v>750</v>
      </c>
      <c r="B49" s="413" t="s">
        <v>780</v>
      </c>
      <c r="C49" s="415"/>
      <c r="D49" s="61">
        <f>3+16</f>
        <v>19</v>
      </c>
      <c r="E49" s="290"/>
      <c r="F49" s="49"/>
      <c r="G49" s="62"/>
    </row>
    <row r="50" spans="1:7" s="51" customFormat="1" ht="16.5" customHeight="1" x14ac:dyDescent="0.2">
      <c r="A50" s="52" t="s">
        <v>772</v>
      </c>
      <c r="B50" s="413">
        <v>4</v>
      </c>
      <c r="C50" s="415"/>
      <c r="D50" s="61">
        <f>4</f>
        <v>4</v>
      </c>
      <c r="E50" s="290"/>
      <c r="F50" s="49"/>
      <c r="G50" s="62"/>
    </row>
    <row r="51" spans="1:7" s="41" customFormat="1" ht="15.75" customHeight="1" x14ac:dyDescent="0.2">
      <c r="A51" s="410"/>
      <c r="B51" s="411"/>
      <c r="C51" s="411"/>
      <c r="D51" s="411"/>
      <c r="E51" s="412"/>
      <c r="F51" s="40"/>
    </row>
    <row r="52" spans="1:7" s="41" customFormat="1" ht="15.75" customHeight="1" x14ac:dyDescent="0.2">
      <c r="A52" s="422" t="s">
        <v>211</v>
      </c>
      <c r="B52" s="423"/>
      <c r="C52" s="423"/>
      <c r="D52" s="75">
        <f>SUM(D53:D53)</f>
        <v>6.6500000000000004E-2</v>
      </c>
      <c r="E52" s="48" t="s">
        <v>45</v>
      </c>
      <c r="F52" s="40" t="s">
        <v>42</v>
      </c>
    </row>
    <row r="53" spans="1:7" s="41" customFormat="1" ht="15.75" customHeight="1" x14ac:dyDescent="0.2">
      <c r="A53" s="52" t="s">
        <v>729</v>
      </c>
      <c r="B53" s="413" t="s">
        <v>733</v>
      </c>
      <c r="C53" s="415"/>
      <c r="D53" s="65">
        <f>1.33*0.05</f>
        <v>6.6500000000000004E-2</v>
      </c>
      <c r="E53" s="281"/>
      <c r="F53" s="40"/>
    </row>
    <row r="54" spans="1:7" s="41" customFormat="1" ht="15.75" customHeight="1" x14ac:dyDescent="0.2">
      <c r="A54" s="410"/>
      <c r="B54" s="411"/>
      <c r="C54" s="411"/>
      <c r="D54" s="411"/>
      <c r="E54" s="412"/>
      <c r="F54" s="40"/>
    </row>
    <row r="55" spans="1:7" s="41" customFormat="1" ht="15.75" customHeight="1" x14ac:dyDescent="0.2">
      <c r="A55" s="422" t="s">
        <v>8</v>
      </c>
      <c r="B55" s="423"/>
      <c r="C55" s="423"/>
      <c r="D55" s="75">
        <f>SUM(D56:D56)</f>
        <v>12.120000000000001</v>
      </c>
      <c r="E55" s="66" t="s">
        <v>41</v>
      </c>
      <c r="F55" s="40" t="s">
        <v>42</v>
      </c>
    </row>
    <row r="56" spans="1:7" s="41" customFormat="1" ht="15.75" customHeight="1" x14ac:dyDescent="0.2">
      <c r="A56" s="63"/>
      <c r="B56" s="413" t="s">
        <v>668</v>
      </c>
      <c r="C56" s="415"/>
      <c r="D56" s="65">
        <f>(31.86-19.74)</f>
        <v>12.120000000000001</v>
      </c>
      <c r="E56" s="64"/>
      <c r="F56" s="40"/>
    </row>
    <row r="57" spans="1:7" s="41" customFormat="1" ht="15.75" customHeight="1" x14ac:dyDescent="0.2">
      <c r="A57" s="410"/>
      <c r="B57" s="411"/>
      <c r="C57" s="411"/>
      <c r="D57" s="411"/>
      <c r="E57" s="412"/>
      <c r="F57" s="40"/>
    </row>
    <row r="58" spans="1:7" s="41" customFormat="1" x14ac:dyDescent="0.2">
      <c r="A58" s="422" t="s">
        <v>52</v>
      </c>
      <c r="B58" s="423"/>
      <c r="C58" s="423"/>
      <c r="D58" s="75">
        <f>SUM(D59:D59)</f>
        <v>88.56</v>
      </c>
      <c r="E58" s="48" t="s">
        <v>45</v>
      </c>
      <c r="F58" s="40" t="s">
        <v>42</v>
      </c>
    </row>
    <row r="59" spans="1:7" s="51" customFormat="1" ht="16.5" customHeight="1" x14ac:dyDescent="0.2">
      <c r="A59" s="63" t="s">
        <v>87</v>
      </c>
      <c r="B59" s="413" t="s">
        <v>674</v>
      </c>
      <c r="C59" s="415"/>
      <c r="D59" s="65">
        <f>(4.1*3.6*6)</f>
        <v>88.56</v>
      </c>
      <c r="E59" s="64"/>
      <c r="F59" s="49"/>
    </row>
    <row r="60" spans="1:7" s="41" customFormat="1" ht="15.75" customHeight="1" x14ac:dyDescent="0.2">
      <c r="A60" s="410"/>
      <c r="B60" s="411"/>
      <c r="C60" s="411"/>
      <c r="D60" s="411"/>
      <c r="E60" s="412"/>
      <c r="F60" s="40"/>
      <c r="G60" s="54"/>
    </row>
    <row r="61" spans="1:7" s="41" customFormat="1" x14ac:dyDescent="0.2">
      <c r="A61" s="418" t="s">
        <v>53</v>
      </c>
      <c r="B61" s="419"/>
      <c r="C61" s="419"/>
      <c r="D61" s="75">
        <f>SUM(D62:D67)</f>
        <v>157.376</v>
      </c>
      <c r="E61" s="66" t="s">
        <v>41</v>
      </c>
      <c r="F61" s="40" t="s">
        <v>42</v>
      </c>
    </row>
    <row r="62" spans="1:7" s="51" customFormat="1" ht="15" customHeight="1" x14ac:dyDescent="0.2">
      <c r="A62" s="52" t="s">
        <v>87</v>
      </c>
      <c r="B62" s="420" t="s">
        <v>675</v>
      </c>
      <c r="C62" s="421"/>
      <c r="D62" s="53">
        <f>(4.2*4.1) + (3.7*4.7) + (3.65*4.1*2)</f>
        <v>64.539999999999992</v>
      </c>
      <c r="E62" s="46"/>
      <c r="F62" s="49"/>
    </row>
    <row r="63" spans="1:7" s="41" customFormat="1" ht="15.75" customHeight="1" x14ac:dyDescent="0.2">
      <c r="A63" s="52" t="s">
        <v>94</v>
      </c>
      <c r="B63" s="420" t="s">
        <v>775</v>
      </c>
      <c r="C63" s="421"/>
      <c r="D63" s="53">
        <f>(1.2*6.3*4)</f>
        <v>30.24</v>
      </c>
      <c r="E63" s="46"/>
      <c r="F63" s="40"/>
      <c r="G63" s="54"/>
    </row>
    <row r="64" spans="1:7" s="41" customFormat="1" ht="15.75" customHeight="1" x14ac:dyDescent="0.2">
      <c r="A64" s="52" t="s">
        <v>750</v>
      </c>
      <c r="B64" s="413" t="s">
        <v>778</v>
      </c>
      <c r="C64" s="414"/>
      <c r="D64" s="53">
        <f>(1.3*3.8) + (1.1*4.15) + (1.3*3.3) + (1.1*4.1) + (1.1*3.6)</f>
        <v>22.265000000000001</v>
      </c>
      <c r="E64" s="46"/>
      <c r="F64" s="40"/>
      <c r="G64" s="54"/>
    </row>
    <row r="65" spans="1:7" s="41" customFormat="1" ht="15.75" customHeight="1" x14ac:dyDescent="0.2">
      <c r="A65" s="52" t="s">
        <v>772</v>
      </c>
      <c r="B65" s="413" t="s">
        <v>788</v>
      </c>
      <c r="C65" s="414"/>
      <c r="D65" s="53">
        <f>(2.4*0.5*4) + (0.36*2*4)</f>
        <v>7.68</v>
      </c>
      <c r="E65" s="46"/>
      <c r="F65" s="40"/>
      <c r="G65" s="54"/>
    </row>
    <row r="66" spans="1:7" s="41" customFormat="1" ht="15.75" customHeight="1" x14ac:dyDescent="0.2">
      <c r="A66" s="52" t="s">
        <v>173</v>
      </c>
      <c r="B66" s="420" t="s">
        <v>676</v>
      </c>
      <c r="C66" s="431"/>
      <c r="D66" s="53">
        <f>((31.86-19.74) *2)+ (0.1*22.6)</f>
        <v>26.500000000000004</v>
      </c>
      <c r="E66" s="46"/>
      <c r="F66" s="40"/>
      <c r="G66" s="54"/>
    </row>
    <row r="67" spans="1:7" s="41" customFormat="1" ht="15.75" customHeight="1" x14ac:dyDescent="0.2">
      <c r="A67" s="52" t="s">
        <v>729</v>
      </c>
      <c r="B67" s="413" t="s">
        <v>732</v>
      </c>
      <c r="C67" s="414"/>
      <c r="D67" s="53">
        <f>(4.22*0.4) + (3.02*0.35) + (0.77*2) + (3.52*0.05) + 1.12 + 0.57</f>
        <v>6.1510000000000007</v>
      </c>
      <c r="E67" s="56"/>
      <c r="F67" s="40"/>
      <c r="G67" s="54"/>
    </row>
    <row r="68" spans="1:7" s="41" customFormat="1" ht="15.75" customHeight="1" x14ac:dyDescent="0.2">
      <c r="A68" s="410"/>
      <c r="B68" s="411"/>
      <c r="C68" s="411"/>
      <c r="D68" s="411"/>
      <c r="E68" s="412"/>
      <c r="F68" s="40"/>
      <c r="G68" s="54"/>
    </row>
    <row r="69" spans="1:7" s="41" customFormat="1" x14ac:dyDescent="0.2">
      <c r="A69" s="418" t="s">
        <v>54</v>
      </c>
      <c r="B69" s="419"/>
      <c r="C69" s="419"/>
      <c r="D69" s="76">
        <f>SUM(D70:D74)*1.04</f>
        <v>112.33040000000003</v>
      </c>
      <c r="E69" s="48" t="s">
        <v>41</v>
      </c>
      <c r="F69" s="40" t="s">
        <v>42</v>
      </c>
    </row>
    <row r="70" spans="1:7" s="51" customFormat="1" ht="15" customHeight="1" x14ac:dyDescent="0.2">
      <c r="A70" s="63" t="s">
        <v>97</v>
      </c>
      <c r="B70" s="413" t="s">
        <v>677</v>
      </c>
      <c r="C70" s="415"/>
      <c r="D70" s="67">
        <f>((15.5*5.7)-((1*0.5*2)+(1.6*2.1)))</f>
        <v>83.990000000000009</v>
      </c>
      <c r="E70" s="64"/>
      <c r="F70" s="49"/>
    </row>
    <row r="71" spans="1:7" s="51" customFormat="1" ht="16.5" customHeight="1" x14ac:dyDescent="0.2">
      <c r="A71" s="63" t="s">
        <v>679</v>
      </c>
      <c r="B71" s="415" t="s">
        <v>678</v>
      </c>
      <c r="C71" s="415"/>
      <c r="D71" s="112">
        <f>2.55*3</f>
        <v>7.6499999999999995</v>
      </c>
      <c r="E71" s="64"/>
      <c r="F71" s="49"/>
    </row>
    <row r="72" spans="1:7" s="51" customFormat="1" ht="16.5" customHeight="1" x14ac:dyDescent="0.2">
      <c r="A72" s="125" t="s">
        <v>174</v>
      </c>
      <c r="B72" s="413" t="s">
        <v>175</v>
      </c>
      <c r="C72" s="414"/>
      <c r="D72" s="112">
        <f>4.6*0.4</f>
        <v>1.8399999999999999</v>
      </c>
      <c r="E72" s="64"/>
      <c r="F72" s="49"/>
    </row>
    <row r="73" spans="1:7" s="51" customFormat="1" ht="16.5" customHeight="1" x14ac:dyDescent="0.2">
      <c r="A73" s="125" t="s">
        <v>176</v>
      </c>
      <c r="B73" s="413" t="s">
        <v>681</v>
      </c>
      <c r="C73" s="415"/>
      <c r="D73" s="112">
        <f>15.8*0.3</f>
        <v>4.74</v>
      </c>
      <c r="E73" s="64"/>
      <c r="F73" s="49"/>
    </row>
    <row r="74" spans="1:7" s="51" customFormat="1" ht="16.5" customHeight="1" x14ac:dyDescent="0.2">
      <c r="A74" s="125" t="s">
        <v>99</v>
      </c>
      <c r="B74" s="413" t="s">
        <v>680</v>
      </c>
      <c r="C74" s="415"/>
      <c r="D74" s="67">
        <f>17.8*0.55</f>
        <v>9.7900000000000009</v>
      </c>
      <c r="E74" s="64"/>
      <c r="F74" s="49"/>
    </row>
    <row r="75" spans="1:7" s="41" customFormat="1" x14ac:dyDescent="0.2">
      <c r="A75" s="410"/>
      <c r="B75" s="411"/>
      <c r="C75" s="411"/>
      <c r="D75" s="411"/>
      <c r="E75" s="412"/>
      <c r="F75" s="40"/>
      <c r="G75" s="54"/>
    </row>
    <row r="76" spans="1:7" s="41" customFormat="1" x14ac:dyDescent="0.2">
      <c r="A76" s="416" t="s">
        <v>178</v>
      </c>
      <c r="B76" s="426"/>
      <c r="C76" s="426"/>
      <c r="D76" s="68">
        <f>SUM(D77:D77)</f>
        <v>15</v>
      </c>
      <c r="E76" s="48" t="s">
        <v>41</v>
      </c>
      <c r="F76" s="40" t="s">
        <v>42</v>
      </c>
      <c r="G76" s="54"/>
    </row>
    <row r="77" spans="1:7" s="41" customFormat="1" x14ac:dyDescent="0.2">
      <c r="A77" s="69"/>
      <c r="B77" s="424">
        <v>15</v>
      </c>
      <c r="C77" s="427"/>
      <c r="D77" s="58">
        <v>15</v>
      </c>
      <c r="E77" s="59"/>
      <c r="F77" s="40"/>
      <c r="G77" s="54"/>
    </row>
    <row r="78" spans="1:7" s="41" customFormat="1" x14ac:dyDescent="0.2">
      <c r="A78" s="428"/>
      <c r="B78" s="429"/>
      <c r="C78" s="429"/>
      <c r="D78" s="429"/>
      <c r="E78" s="430"/>
      <c r="F78" s="40"/>
      <c r="G78" s="54"/>
    </row>
    <row r="79" spans="1:7" s="41" customFormat="1" x14ac:dyDescent="0.2">
      <c r="A79" s="416" t="s">
        <v>181</v>
      </c>
      <c r="B79" s="426"/>
      <c r="C79" s="426"/>
      <c r="D79" s="68">
        <f>SUM(D80:D80)</f>
        <v>13.9</v>
      </c>
      <c r="E79" s="48" t="s">
        <v>55</v>
      </c>
      <c r="F79" s="40" t="s">
        <v>42</v>
      </c>
      <c r="G79" s="54"/>
    </row>
    <row r="80" spans="1:7" s="41" customFormat="1" x14ac:dyDescent="0.2">
      <c r="A80" s="69"/>
      <c r="B80" s="424" t="s">
        <v>682</v>
      </c>
      <c r="C80" s="427"/>
      <c r="D80" s="58">
        <f>(15.5-1.6)</f>
        <v>13.9</v>
      </c>
      <c r="E80" s="59"/>
      <c r="F80" s="40"/>
      <c r="G80" s="54"/>
    </row>
    <row r="81" spans="1:7" s="41" customFormat="1" x14ac:dyDescent="0.2">
      <c r="A81" s="428"/>
      <c r="B81" s="429"/>
      <c r="C81" s="429"/>
      <c r="D81" s="429"/>
      <c r="E81" s="430"/>
      <c r="F81" s="40"/>
      <c r="G81" s="54"/>
    </row>
    <row r="82" spans="1:7" s="41" customFormat="1" x14ac:dyDescent="0.2">
      <c r="A82" s="416" t="s">
        <v>177</v>
      </c>
      <c r="B82" s="426"/>
      <c r="C82" s="426"/>
      <c r="D82" s="68">
        <f>SUM(D83:D83)</f>
        <v>10.5</v>
      </c>
      <c r="E82" s="48" t="s">
        <v>41</v>
      </c>
      <c r="F82" s="40" t="s">
        <v>42</v>
      </c>
      <c r="G82" s="54"/>
    </row>
    <row r="83" spans="1:7" s="41" customFormat="1" x14ac:dyDescent="0.2">
      <c r="A83" s="126" t="s">
        <v>683</v>
      </c>
      <c r="B83" s="424" t="s">
        <v>684</v>
      </c>
      <c r="C83" s="425"/>
      <c r="D83" s="135">
        <f>(2*3) + (1.5*3)</f>
        <v>10.5</v>
      </c>
      <c r="E83" s="59"/>
      <c r="F83" s="40"/>
      <c r="G83" s="54"/>
    </row>
    <row r="84" spans="1:7" s="41" customFormat="1" x14ac:dyDescent="0.2">
      <c r="A84" s="428"/>
      <c r="B84" s="429"/>
      <c r="C84" s="429"/>
      <c r="D84" s="429"/>
      <c r="E84" s="430"/>
      <c r="F84" s="40"/>
      <c r="G84" s="54"/>
    </row>
    <row r="85" spans="1:7" s="41" customFormat="1" x14ac:dyDescent="0.2">
      <c r="A85" s="416" t="s">
        <v>189</v>
      </c>
      <c r="B85" s="426"/>
      <c r="C85" s="426"/>
      <c r="D85" s="68">
        <f>SUM(D86:D86)</f>
        <v>1</v>
      </c>
      <c r="E85" s="48" t="s">
        <v>41</v>
      </c>
      <c r="F85" s="40" t="s">
        <v>42</v>
      </c>
      <c r="G85" s="54"/>
    </row>
    <row r="86" spans="1:7" s="41" customFormat="1" x14ac:dyDescent="0.2">
      <c r="A86" s="69" t="s">
        <v>186</v>
      </c>
      <c r="B86" s="424" t="s">
        <v>685</v>
      </c>
      <c r="C86" s="427"/>
      <c r="D86" s="58">
        <f>(1*0.5)*2</f>
        <v>1</v>
      </c>
      <c r="E86" s="59"/>
      <c r="F86" s="40"/>
      <c r="G86" s="54"/>
    </row>
    <row r="87" spans="1:7" s="41" customFormat="1" x14ac:dyDescent="0.2">
      <c r="A87" s="428"/>
      <c r="B87" s="429"/>
      <c r="C87" s="429"/>
      <c r="D87" s="429"/>
      <c r="E87" s="430"/>
      <c r="F87" s="40"/>
      <c r="G87" s="54"/>
    </row>
    <row r="88" spans="1:7" s="41" customFormat="1" x14ac:dyDescent="0.2">
      <c r="A88" s="416" t="s">
        <v>182</v>
      </c>
      <c r="B88" s="426"/>
      <c r="C88" s="426"/>
      <c r="D88" s="68">
        <f>SUM(D89:D89)</f>
        <v>0.24</v>
      </c>
      <c r="E88" s="48" t="s">
        <v>41</v>
      </c>
      <c r="F88" s="40" t="s">
        <v>42</v>
      </c>
      <c r="G88" s="54"/>
    </row>
    <row r="89" spans="1:7" s="41" customFormat="1" x14ac:dyDescent="0.2">
      <c r="A89" s="69" t="s">
        <v>184</v>
      </c>
      <c r="B89" s="424" t="s">
        <v>199</v>
      </c>
      <c r="C89" s="427"/>
      <c r="D89" s="58">
        <f>1.6*0.15</f>
        <v>0.24</v>
      </c>
      <c r="E89" s="59"/>
      <c r="F89" s="40"/>
      <c r="G89" s="54"/>
    </row>
    <row r="90" spans="1:7" s="41" customFormat="1" x14ac:dyDescent="0.2">
      <c r="A90" s="428"/>
      <c r="B90" s="429"/>
      <c r="C90" s="429"/>
      <c r="D90" s="429"/>
      <c r="E90" s="430"/>
      <c r="F90" s="40"/>
      <c r="G90" s="54"/>
    </row>
    <row r="91" spans="1:7" s="41" customFormat="1" x14ac:dyDescent="0.2">
      <c r="A91" s="416" t="s">
        <v>185</v>
      </c>
      <c r="B91" s="426"/>
      <c r="C91" s="426"/>
      <c r="D91" s="68">
        <f>SUM(D92:D92)</f>
        <v>2</v>
      </c>
      <c r="E91" s="48" t="s">
        <v>55</v>
      </c>
      <c r="F91" s="40" t="s">
        <v>42</v>
      </c>
      <c r="G91" s="54"/>
    </row>
    <row r="92" spans="1:7" s="41" customFormat="1" x14ac:dyDescent="0.2">
      <c r="A92" s="69" t="s">
        <v>186</v>
      </c>
      <c r="B92" s="424" t="s">
        <v>686</v>
      </c>
      <c r="C92" s="427"/>
      <c r="D92" s="58">
        <f>1*2</f>
        <v>2</v>
      </c>
      <c r="E92" s="59"/>
      <c r="F92" s="40"/>
      <c r="G92" s="54"/>
    </row>
    <row r="93" spans="1:7" s="41" customFormat="1" x14ac:dyDescent="0.2">
      <c r="A93" s="428"/>
      <c r="B93" s="429"/>
      <c r="C93" s="429"/>
      <c r="D93" s="429"/>
      <c r="E93" s="430"/>
      <c r="F93" s="40"/>
      <c r="G93" s="54"/>
    </row>
    <row r="94" spans="1:7" s="41" customFormat="1" x14ac:dyDescent="0.2">
      <c r="A94" s="416" t="s">
        <v>204</v>
      </c>
      <c r="B94" s="426"/>
      <c r="C94" s="426"/>
      <c r="D94" s="68">
        <f>SUM(D95:D95)</f>
        <v>14.490000000000002</v>
      </c>
      <c r="E94" s="48" t="s">
        <v>41</v>
      </c>
      <c r="F94" s="40" t="s">
        <v>42</v>
      </c>
    </row>
    <row r="95" spans="1:7" s="41" customFormat="1" x14ac:dyDescent="0.2">
      <c r="A95" s="69"/>
      <c r="B95" s="424" t="s">
        <v>687</v>
      </c>
      <c r="C95" s="427"/>
      <c r="D95" s="58">
        <f>3.45*4.2</f>
        <v>14.490000000000002</v>
      </c>
      <c r="E95" s="59"/>
      <c r="F95" s="40"/>
    </row>
    <row r="96" spans="1:7" s="41" customFormat="1" x14ac:dyDescent="0.2">
      <c r="A96" s="428"/>
      <c r="B96" s="429"/>
      <c r="C96" s="429"/>
      <c r="D96" s="429"/>
      <c r="E96" s="430"/>
      <c r="F96" s="40"/>
    </row>
    <row r="97" spans="1:6" s="41" customFormat="1" x14ac:dyDescent="0.2">
      <c r="A97" s="416" t="s">
        <v>121</v>
      </c>
      <c r="B97" s="426"/>
      <c r="C97" s="426"/>
      <c r="D97" s="68">
        <f>SUM(D98:D98)</f>
        <v>4.2</v>
      </c>
      <c r="E97" s="48" t="s">
        <v>55</v>
      </c>
      <c r="F97" s="40" t="s">
        <v>42</v>
      </c>
    </row>
    <row r="98" spans="1:6" s="41" customFormat="1" x14ac:dyDescent="0.2">
      <c r="A98" s="69"/>
      <c r="B98" s="424">
        <v>4.2</v>
      </c>
      <c r="C98" s="427"/>
      <c r="D98" s="58">
        <f>4.2</f>
        <v>4.2</v>
      </c>
      <c r="E98" s="59"/>
      <c r="F98" s="40"/>
    </row>
    <row r="99" spans="1:6" s="41" customFormat="1" x14ac:dyDescent="0.2">
      <c r="A99" s="428"/>
      <c r="B99" s="429"/>
      <c r="C99" s="429"/>
      <c r="D99" s="429"/>
      <c r="E99" s="430"/>
      <c r="F99" s="40"/>
    </row>
    <row r="100" spans="1:6" s="41" customFormat="1" x14ac:dyDescent="0.2">
      <c r="A100" s="416" t="s">
        <v>129</v>
      </c>
      <c r="B100" s="426"/>
      <c r="C100" s="426"/>
      <c r="D100" s="68">
        <f>SUM(D101:D101)</f>
        <v>17.8</v>
      </c>
      <c r="E100" s="48" t="s">
        <v>55</v>
      </c>
      <c r="F100" s="40" t="s">
        <v>42</v>
      </c>
    </row>
    <row r="101" spans="1:6" s="41" customFormat="1" x14ac:dyDescent="0.2">
      <c r="A101" s="69"/>
      <c r="B101" s="424">
        <v>17.8</v>
      </c>
      <c r="C101" s="427"/>
      <c r="D101" s="58">
        <f>17.8</f>
        <v>17.8</v>
      </c>
      <c r="E101" s="59"/>
      <c r="F101" s="40"/>
    </row>
    <row r="102" spans="1:6" s="41" customFormat="1" x14ac:dyDescent="0.2">
      <c r="A102" s="428"/>
      <c r="B102" s="429"/>
      <c r="C102" s="429"/>
      <c r="D102" s="429"/>
      <c r="E102" s="430"/>
      <c r="F102" s="40"/>
    </row>
    <row r="103" spans="1:6" s="41" customFormat="1" x14ac:dyDescent="0.2">
      <c r="A103" s="416" t="s">
        <v>180</v>
      </c>
      <c r="B103" s="426"/>
      <c r="C103" s="426"/>
      <c r="D103" s="68">
        <f>SUM(D104:D107)</f>
        <v>248.07999999999998</v>
      </c>
      <c r="E103" s="48" t="s">
        <v>41</v>
      </c>
      <c r="F103" s="40" t="s">
        <v>42</v>
      </c>
    </row>
    <row r="104" spans="1:6" s="41" customFormat="1" x14ac:dyDescent="0.2">
      <c r="A104" s="63" t="s">
        <v>97</v>
      </c>
      <c r="B104" s="413" t="s">
        <v>688</v>
      </c>
      <c r="C104" s="438"/>
      <c r="D104" s="71">
        <f>((17.8*6.25) - ((1*0.5*2) + (1.6*2.1)))</f>
        <v>106.89</v>
      </c>
      <c r="E104" s="72"/>
      <c r="F104" s="40"/>
    </row>
    <row r="105" spans="1:6" s="41" customFormat="1" x14ac:dyDescent="0.2">
      <c r="A105" s="134" t="s">
        <v>98</v>
      </c>
      <c r="B105" s="424" t="s">
        <v>689</v>
      </c>
      <c r="C105" s="425"/>
      <c r="D105" s="71">
        <f>(2.55*3*2) + ((15.5*6) - ((1*0.5*2) + (1.6*2.1)))</f>
        <v>103.94</v>
      </c>
      <c r="E105" s="72"/>
      <c r="F105" s="40"/>
    </row>
    <row r="106" spans="1:6" s="41" customFormat="1" x14ac:dyDescent="0.2">
      <c r="A106" s="125" t="s">
        <v>99</v>
      </c>
      <c r="B106" s="413" t="s">
        <v>690</v>
      </c>
      <c r="C106" s="415"/>
      <c r="D106" s="67">
        <f>(17.8*0.55*2) + (0.15*17.8)</f>
        <v>22.25</v>
      </c>
      <c r="E106" s="113"/>
      <c r="F106" s="40"/>
    </row>
    <row r="107" spans="1:6" s="41" customFormat="1" x14ac:dyDescent="0.2">
      <c r="A107" s="125" t="s">
        <v>179</v>
      </c>
      <c r="B107" s="413">
        <v>15</v>
      </c>
      <c r="C107" s="415"/>
      <c r="D107" s="67">
        <f>15</f>
        <v>15</v>
      </c>
      <c r="E107" s="113"/>
      <c r="F107" s="40"/>
    </row>
    <row r="108" spans="1:6" s="41" customFormat="1" x14ac:dyDescent="0.2">
      <c r="A108" s="435"/>
      <c r="B108" s="436"/>
      <c r="C108" s="436"/>
      <c r="D108" s="436"/>
      <c r="E108" s="437"/>
      <c r="F108" s="40"/>
    </row>
    <row r="109" spans="1:6" s="41" customFormat="1" x14ac:dyDescent="0.2">
      <c r="A109" s="416" t="s">
        <v>190</v>
      </c>
      <c r="B109" s="426"/>
      <c r="C109" s="426"/>
      <c r="D109" s="68">
        <f>SUM(D110:D112)</f>
        <v>233.07999999999998</v>
      </c>
      <c r="E109" s="48" t="s">
        <v>41</v>
      </c>
      <c r="F109" s="40" t="s">
        <v>42</v>
      </c>
    </row>
    <row r="110" spans="1:6" s="41" customFormat="1" ht="14.25" customHeight="1" x14ac:dyDescent="0.2">
      <c r="A110" s="63" t="s">
        <v>97</v>
      </c>
      <c r="B110" s="413" t="s">
        <v>688</v>
      </c>
      <c r="C110" s="438"/>
      <c r="D110" s="71">
        <f>((17.8*6.25) - ((1*0.5*2) + (1.6*2.1)))</f>
        <v>106.89</v>
      </c>
      <c r="E110" s="72"/>
      <c r="F110" s="40"/>
    </row>
    <row r="111" spans="1:6" s="41" customFormat="1" x14ac:dyDescent="0.2">
      <c r="A111" s="134" t="s">
        <v>98</v>
      </c>
      <c r="B111" s="424" t="s">
        <v>689</v>
      </c>
      <c r="C111" s="425"/>
      <c r="D111" s="71">
        <f>(2.55*3*2) + ((15.5*6) - ((1*0.5*2) + (1.6*2.1)))</f>
        <v>103.94</v>
      </c>
      <c r="E111" s="72"/>
      <c r="F111" s="40"/>
    </row>
    <row r="112" spans="1:6" s="41" customFormat="1" x14ac:dyDescent="0.2">
      <c r="A112" s="282" t="s">
        <v>99</v>
      </c>
      <c r="B112" s="413" t="s">
        <v>690</v>
      </c>
      <c r="C112" s="415"/>
      <c r="D112" s="67">
        <f>(17.8*0.55*2) + (0.15*17.8)</f>
        <v>22.25</v>
      </c>
      <c r="E112" s="113"/>
      <c r="F112" s="40"/>
    </row>
    <row r="113" spans="1:6" s="41" customFormat="1" x14ac:dyDescent="0.2">
      <c r="A113" s="435"/>
      <c r="B113" s="436"/>
      <c r="C113" s="436"/>
      <c r="D113" s="436"/>
      <c r="E113" s="437"/>
      <c r="F113" s="40"/>
    </row>
    <row r="114" spans="1:6" x14ac:dyDescent="0.25">
      <c r="A114" s="416" t="s">
        <v>784</v>
      </c>
      <c r="B114" s="426"/>
      <c r="C114" s="426"/>
      <c r="D114" s="68">
        <f>SUM(D115:D115)</f>
        <v>24</v>
      </c>
      <c r="E114" s="48" t="s">
        <v>55</v>
      </c>
    </row>
    <row r="115" spans="1:6" x14ac:dyDescent="0.25">
      <c r="A115" s="69"/>
      <c r="B115" s="424" t="s">
        <v>785</v>
      </c>
      <c r="C115" s="427"/>
      <c r="D115" s="58">
        <f>6*4</f>
        <v>24</v>
      </c>
      <c r="E115" s="59"/>
    </row>
    <row r="116" spans="1:6" x14ac:dyDescent="0.25">
      <c r="A116" s="435"/>
      <c r="B116" s="436"/>
      <c r="C116" s="436"/>
      <c r="D116" s="436"/>
      <c r="E116" s="437"/>
    </row>
  </sheetData>
  <mergeCells count="117">
    <mergeCell ref="A114:C114"/>
    <mergeCell ref="B115:C115"/>
    <mergeCell ref="A116:E116"/>
    <mergeCell ref="B28:C28"/>
    <mergeCell ref="B29:C29"/>
    <mergeCell ref="B37:C37"/>
    <mergeCell ref="B65:C65"/>
    <mergeCell ref="B64:C64"/>
    <mergeCell ref="B36:C36"/>
    <mergeCell ref="B49:C49"/>
    <mergeCell ref="A40:C40"/>
    <mergeCell ref="B41:C41"/>
    <mergeCell ref="B42:C42"/>
    <mergeCell ref="B43:C43"/>
    <mergeCell ref="B46:C46"/>
    <mergeCell ref="A47:E47"/>
    <mergeCell ref="B44:C44"/>
    <mergeCell ref="A58:C58"/>
    <mergeCell ref="B59:C59"/>
    <mergeCell ref="A60:E60"/>
    <mergeCell ref="A55:C55"/>
    <mergeCell ref="B56:C56"/>
    <mergeCell ref="A57:E57"/>
    <mergeCell ref="A52:C52"/>
    <mergeCell ref="D1:E1"/>
    <mergeCell ref="A2:B2"/>
    <mergeCell ref="D2:E2"/>
    <mergeCell ref="A3:E3"/>
    <mergeCell ref="A4:C4"/>
    <mergeCell ref="A21:E21"/>
    <mergeCell ref="A13:E13"/>
    <mergeCell ref="A14:C14"/>
    <mergeCell ref="B15:C15"/>
    <mergeCell ref="B12:C12"/>
    <mergeCell ref="B16:C16"/>
    <mergeCell ref="B8:C8"/>
    <mergeCell ref="B20:C20"/>
    <mergeCell ref="A5:C5"/>
    <mergeCell ref="A6:C6"/>
    <mergeCell ref="B7:C7"/>
    <mergeCell ref="A9:E9"/>
    <mergeCell ref="A10:C10"/>
    <mergeCell ref="B11:C11"/>
    <mergeCell ref="A17:E17"/>
    <mergeCell ref="A18:C18"/>
    <mergeCell ref="B19:C19"/>
    <mergeCell ref="A22:C22"/>
    <mergeCell ref="B23:C23"/>
    <mergeCell ref="A24:E24"/>
    <mergeCell ref="A25:C25"/>
    <mergeCell ref="B26:C26"/>
    <mergeCell ref="B27:C27"/>
    <mergeCell ref="B30:C30"/>
    <mergeCell ref="B38:C38"/>
    <mergeCell ref="A51:E51"/>
    <mergeCell ref="A39:E39"/>
    <mergeCell ref="A48:C48"/>
    <mergeCell ref="A31:E31"/>
    <mergeCell ref="A32:C32"/>
    <mergeCell ref="B33:C33"/>
    <mergeCell ref="B35:C35"/>
    <mergeCell ref="B50:C50"/>
    <mergeCell ref="B45:C45"/>
    <mergeCell ref="B34:C34"/>
    <mergeCell ref="B53:C53"/>
    <mergeCell ref="A54:E54"/>
    <mergeCell ref="A69:C69"/>
    <mergeCell ref="B70:C70"/>
    <mergeCell ref="B71:C71"/>
    <mergeCell ref="B72:C72"/>
    <mergeCell ref="A75:E75"/>
    <mergeCell ref="B74:C74"/>
    <mergeCell ref="B73:C73"/>
    <mergeCell ref="A61:C61"/>
    <mergeCell ref="B62:C62"/>
    <mergeCell ref="B63:C63"/>
    <mergeCell ref="B66:C66"/>
    <mergeCell ref="A68:E68"/>
    <mergeCell ref="B67:C67"/>
    <mergeCell ref="A113:E113"/>
    <mergeCell ref="B101:C101"/>
    <mergeCell ref="A102:E102"/>
    <mergeCell ref="A109:C109"/>
    <mergeCell ref="B110:C110"/>
    <mergeCell ref="B111:C111"/>
    <mergeCell ref="A103:C103"/>
    <mergeCell ref="B105:C105"/>
    <mergeCell ref="B104:C104"/>
    <mergeCell ref="B112:C112"/>
    <mergeCell ref="B107:C107"/>
    <mergeCell ref="B106:C106"/>
    <mergeCell ref="A108:E108"/>
    <mergeCell ref="A76:C76"/>
    <mergeCell ref="B77:C77"/>
    <mergeCell ref="B95:C95"/>
    <mergeCell ref="A96:E96"/>
    <mergeCell ref="A97:C97"/>
    <mergeCell ref="A94:C94"/>
    <mergeCell ref="A81:E81"/>
    <mergeCell ref="A88:C88"/>
    <mergeCell ref="B89:C89"/>
    <mergeCell ref="A90:E90"/>
    <mergeCell ref="A79:C79"/>
    <mergeCell ref="B80:C80"/>
    <mergeCell ref="A78:E78"/>
    <mergeCell ref="A100:C100"/>
    <mergeCell ref="A91:C91"/>
    <mergeCell ref="A93:E93"/>
    <mergeCell ref="A82:C82"/>
    <mergeCell ref="A84:E84"/>
    <mergeCell ref="B83:C83"/>
    <mergeCell ref="A85:C85"/>
    <mergeCell ref="B86:C86"/>
    <mergeCell ref="A87:E87"/>
    <mergeCell ref="B92:C92"/>
    <mergeCell ref="B98:C98"/>
    <mergeCell ref="A99:E99"/>
  </mergeCells>
  <printOptions horizontalCentered="1"/>
  <pageMargins left="0.98425196850393704" right="0.98425196850393704" top="0.98425196850393704" bottom="0.98425196850393704" header="0.31496062992125984" footer="0.31496062992125984"/>
  <pageSetup paperSize="9" scale="75" orientation="portrait" verticalDpi="200" r:id="rId1"/>
  <headerFooter>
    <oddHeader>&amp;L&amp;G&amp;R&amp;G</oddHead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0D401E-E026-43A0-807D-B072B270A916}">
  <sheetPr codeName="Planilha11"/>
  <dimension ref="A1:H114"/>
  <sheetViews>
    <sheetView view="pageBreakPreview" zoomScaleSheetLayoutView="100" workbookViewId="0"/>
  </sheetViews>
  <sheetFormatPr defaultRowHeight="15" x14ac:dyDescent="0.25"/>
  <cols>
    <col min="1" max="1" width="15.28515625" style="73" customWidth="1"/>
    <col min="2" max="2" width="30.7109375" style="38" customWidth="1"/>
    <col min="3" max="3" width="43.140625" style="38" customWidth="1"/>
    <col min="4" max="4" width="10.7109375" style="38" customWidth="1"/>
    <col min="5" max="5" width="7.7109375" style="38" customWidth="1"/>
    <col min="6" max="6" width="3.7109375" style="37" bestFit="1" customWidth="1"/>
    <col min="7" max="16384" width="9.140625" style="38"/>
  </cols>
  <sheetData>
    <row r="1" spans="1:7" x14ac:dyDescent="0.25">
      <c r="A1" s="129" t="s">
        <v>35</v>
      </c>
      <c r="B1" s="35"/>
      <c r="C1" s="36" t="s">
        <v>36</v>
      </c>
      <c r="D1" s="441" t="s">
        <v>37</v>
      </c>
      <c r="E1" s="442"/>
    </row>
    <row r="2" spans="1:7" s="39" customFormat="1" ht="24.75" customHeight="1" x14ac:dyDescent="0.2">
      <c r="A2" s="443" t="s">
        <v>57</v>
      </c>
      <c r="B2" s="444"/>
      <c r="C2" s="130" t="s">
        <v>193</v>
      </c>
      <c r="D2" s="445">
        <v>44424</v>
      </c>
      <c r="E2" s="446"/>
      <c r="F2" s="37"/>
    </row>
    <row r="3" spans="1:7" s="41" customFormat="1" x14ac:dyDescent="0.2">
      <c r="A3" s="410"/>
      <c r="B3" s="411"/>
      <c r="C3" s="411"/>
      <c r="D3" s="447"/>
      <c r="E3" s="448"/>
      <c r="F3" s="40"/>
    </row>
    <row r="4" spans="1:7" s="45" customFormat="1" ht="18" customHeight="1" x14ac:dyDescent="0.2">
      <c r="A4" s="449" t="s">
        <v>38</v>
      </c>
      <c r="B4" s="450"/>
      <c r="C4" s="450"/>
      <c r="D4" s="42" t="s">
        <v>39</v>
      </c>
      <c r="E4" s="43" t="s">
        <v>34</v>
      </c>
      <c r="F4" s="44"/>
    </row>
    <row r="5" spans="1:7" s="47" customFormat="1" ht="12.75" x14ac:dyDescent="0.2">
      <c r="A5" s="451"/>
      <c r="B5" s="452"/>
      <c r="C5" s="452"/>
      <c r="D5" s="74"/>
      <c r="E5" s="46"/>
      <c r="F5" s="40"/>
    </row>
    <row r="6" spans="1:7" s="51" customFormat="1" ht="16.5" customHeight="1" x14ac:dyDescent="0.2">
      <c r="A6" s="416" t="s">
        <v>40</v>
      </c>
      <c r="B6" s="417"/>
      <c r="C6" s="417"/>
      <c r="D6" s="75">
        <f>SUM(D7:D7)</f>
        <v>66.87</v>
      </c>
      <c r="E6" s="48" t="s">
        <v>41</v>
      </c>
      <c r="F6" s="49" t="s">
        <v>42</v>
      </c>
      <c r="G6" s="50" t="s">
        <v>43</v>
      </c>
    </row>
    <row r="7" spans="1:7" s="41" customFormat="1" ht="15.75" customHeight="1" x14ac:dyDescent="0.2">
      <c r="A7" s="52"/>
      <c r="B7" s="420">
        <v>66.87</v>
      </c>
      <c r="C7" s="421"/>
      <c r="D7" s="53">
        <f>66.87</f>
        <v>66.87</v>
      </c>
      <c r="E7" s="46"/>
      <c r="F7" s="40"/>
      <c r="G7" s="54"/>
    </row>
    <row r="8" spans="1:7" s="41" customFormat="1" ht="15.75" customHeight="1" x14ac:dyDescent="0.2">
      <c r="A8" s="410"/>
      <c r="B8" s="411"/>
      <c r="C8" s="411"/>
      <c r="D8" s="411"/>
      <c r="E8" s="412"/>
      <c r="F8" s="40"/>
    </row>
    <row r="9" spans="1:7" s="51" customFormat="1" ht="16.5" customHeight="1" x14ac:dyDescent="0.2">
      <c r="A9" s="439" t="s">
        <v>44</v>
      </c>
      <c r="B9" s="440"/>
      <c r="C9" s="440"/>
      <c r="D9" s="76">
        <f>SUM(D10:D11)*1.05</f>
        <v>58.962329999999994</v>
      </c>
      <c r="E9" s="48" t="s">
        <v>45</v>
      </c>
      <c r="F9" s="49" t="s">
        <v>42</v>
      </c>
      <c r="G9" s="50" t="s">
        <v>43</v>
      </c>
    </row>
    <row r="10" spans="1:7" s="41" customFormat="1" ht="15" customHeight="1" x14ac:dyDescent="0.2">
      <c r="A10" s="106" t="s">
        <v>172</v>
      </c>
      <c r="B10" s="453" t="s">
        <v>691</v>
      </c>
      <c r="C10" s="454"/>
      <c r="D10" s="55">
        <f>(79.64*0.7)</f>
        <v>55.747999999999998</v>
      </c>
      <c r="E10" s="46"/>
      <c r="F10" s="40"/>
      <c r="G10" s="54"/>
    </row>
    <row r="11" spans="1:7" s="41" customFormat="1" ht="15" customHeight="1" x14ac:dyDescent="0.2">
      <c r="A11" s="137" t="s">
        <v>194</v>
      </c>
      <c r="B11" s="453" t="s">
        <v>692</v>
      </c>
      <c r="C11" s="458"/>
      <c r="D11" s="105">
        <f>(0.13*1.9) + (0.42*0.38)</f>
        <v>0.40659999999999996</v>
      </c>
      <c r="E11" s="46"/>
      <c r="F11" s="40"/>
      <c r="G11" s="54"/>
    </row>
    <row r="12" spans="1:7" s="41" customFormat="1" ht="15.75" customHeight="1" x14ac:dyDescent="0.2">
      <c r="A12" s="410"/>
      <c r="B12" s="411"/>
      <c r="C12" s="411"/>
      <c r="D12" s="411"/>
      <c r="E12" s="412"/>
      <c r="F12" s="40"/>
    </row>
    <row r="13" spans="1:7" s="51" customFormat="1" ht="16.5" customHeight="1" x14ac:dyDescent="0.2">
      <c r="A13" s="439" t="s">
        <v>46</v>
      </c>
      <c r="B13" s="440"/>
      <c r="C13" s="440"/>
      <c r="D13" s="76">
        <f>SUM(D14:D15)</f>
        <v>26.32</v>
      </c>
      <c r="E13" s="48" t="s">
        <v>45</v>
      </c>
      <c r="F13" s="49" t="s">
        <v>42</v>
      </c>
      <c r="G13" s="57"/>
    </row>
    <row r="14" spans="1:7" s="41" customFormat="1" ht="15" customHeight="1" x14ac:dyDescent="0.2">
      <c r="A14" s="106" t="s">
        <v>172</v>
      </c>
      <c r="B14" s="413" t="s">
        <v>693</v>
      </c>
      <c r="C14" s="415"/>
      <c r="D14" s="55">
        <f>((79.64-61.25)*0.7) + (52.8*0.25)</f>
        <v>26.073</v>
      </c>
      <c r="E14" s="46"/>
      <c r="F14" s="40"/>
      <c r="G14" s="54"/>
    </row>
    <row r="15" spans="1:7" s="41" customFormat="1" ht="15" customHeight="1" x14ac:dyDescent="0.2">
      <c r="A15" s="137" t="s">
        <v>194</v>
      </c>
      <c r="B15" s="453" t="s">
        <v>694</v>
      </c>
      <c r="C15" s="458"/>
      <c r="D15" s="105">
        <f>(0.13*1.9)</f>
        <v>0.247</v>
      </c>
      <c r="E15" s="46"/>
      <c r="F15" s="40"/>
      <c r="G15" s="54"/>
    </row>
    <row r="16" spans="1:7" s="41" customFormat="1" ht="15.75" customHeight="1" x14ac:dyDescent="0.2">
      <c r="A16" s="410"/>
      <c r="B16" s="411"/>
      <c r="C16" s="411"/>
      <c r="D16" s="411"/>
      <c r="E16" s="412"/>
      <c r="F16" s="40"/>
    </row>
    <row r="17" spans="1:8" s="51" customFormat="1" ht="16.5" customHeight="1" x14ac:dyDescent="0.2">
      <c r="A17" s="439" t="s">
        <v>47</v>
      </c>
      <c r="B17" s="440"/>
      <c r="C17" s="440"/>
      <c r="D17" s="75">
        <f>SUM(D18:D18)</f>
        <v>66.87</v>
      </c>
      <c r="E17" s="48" t="s">
        <v>41</v>
      </c>
      <c r="F17" s="49" t="s">
        <v>42</v>
      </c>
    </row>
    <row r="18" spans="1:8" s="41" customFormat="1" x14ac:dyDescent="0.2">
      <c r="A18" s="52"/>
      <c r="B18" s="420">
        <v>66.87</v>
      </c>
      <c r="C18" s="421"/>
      <c r="D18" s="53">
        <f>66.87</f>
        <v>66.87</v>
      </c>
      <c r="E18" s="46"/>
      <c r="F18" s="40"/>
      <c r="G18" s="54"/>
    </row>
    <row r="19" spans="1:8" s="41" customFormat="1" ht="15.75" customHeight="1" x14ac:dyDescent="0.2">
      <c r="A19" s="410"/>
      <c r="B19" s="411"/>
      <c r="C19" s="411"/>
      <c r="D19" s="411"/>
      <c r="E19" s="412"/>
      <c r="F19" s="40"/>
    </row>
    <row r="20" spans="1:8" s="51" customFormat="1" ht="16.5" customHeight="1" x14ac:dyDescent="0.2">
      <c r="A20" s="416" t="s">
        <v>48</v>
      </c>
      <c r="B20" s="417"/>
      <c r="C20" s="417"/>
      <c r="D20" s="75">
        <f>SUM(D21:D21)</f>
        <v>42.432000000000002</v>
      </c>
      <c r="E20" s="48" t="s">
        <v>45</v>
      </c>
      <c r="F20" s="49" t="s">
        <v>42</v>
      </c>
    </row>
    <row r="21" spans="1:8" s="41" customFormat="1" ht="15" customHeight="1" x14ac:dyDescent="0.2">
      <c r="A21" s="106"/>
      <c r="B21" s="413" t="s">
        <v>695</v>
      </c>
      <c r="C21" s="415"/>
      <c r="D21" s="58">
        <f>(58.96-26.32)*1.3</f>
        <v>42.432000000000002</v>
      </c>
      <c r="E21" s="59"/>
      <c r="F21" s="40"/>
    </row>
    <row r="22" spans="1:8" s="41" customFormat="1" ht="15.75" customHeight="1" x14ac:dyDescent="0.2">
      <c r="A22" s="410"/>
      <c r="B22" s="411"/>
      <c r="C22" s="411"/>
      <c r="D22" s="411"/>
      <c r="E22" s="412"/>
      <c r="F22" s="40"/>
    </row>
    <row r="23" spans="1:8" s="51" customFormat="1" ht="16.5" customHeight="1" x14ac:dyDescent="0.2">
      <c r="A23" s="439" t="s">
        <v>49</v>
      </c>
      <c r="B23" s="440"/>
      <c r="C23" s="440"/>
      <c r="D23" s="76">
        <f>SUM(D24:D28)</f>
        <v>154.72599999999997</v>
      </c>
      <c r="E23" s="48" t="s">
        <v>41</v>
      </c>
      <c r="F23" s="49" t="s">
        <v>42</v>
      </c>
      <c r="G23" s="111"/>
      <c r="H23" s="110"/>
    </row>
    <row r="24" spans="1:8" s="41" customFormat="1" ht="15" customHeight="1" x14ac:dyDescent="0.2">
      <c r="A24" s="52" t="s">
        <v>87</v>
      </c>
      <c r="B24" s="420" t="s">
        <v>697</v>
      </c>
      <c r="C24" s="421"/>
      <c r="D24" s="53">
        <f>(12.6*4.4) + (0.45*34.8)</f>
        <v>71.100000000000009</v>
      </c>
      <c r="E24" s="46"/>
      <c r="F24" s="40"/>
      <c r="G24" s="109"/>
      <c r="H24" s="108"/>
    </row>
    <row r="25" spans="1:8" s="41" customFormat="1" ht="15" customHeight="1" x14ac:dyDescent="0.2">
      <c r="A25" s="52" t="s">
        <v>94</v>
      </c>
      <c r="B25" s="413" t="s">
        <v>698</v>
      </c>
      <c r="C25" s="414"/>
      <c r="D25" s="53">
        <f>(1*4.1*8)</f>
        <v>32.799999999999997</v>
      </c>
      <c r="E25" s="46"/>
      <c r="F25" s="40"/>
      <c r="G25" s="109"/>
      <c r="H25" s="108"/>
    </row>
    <row r="26" spans="1:8" s="41" customFormat="1" ht="15" customHeight="1" x14ac:dyDescent="0.2">
      <c r="A26" s="52" t="s">
        <v>750</v>
      </c>
      <c r="B26" s="413" t="s">
        <v>791</v>
      </c>
      <c r="C26" s="414"/>
      <c r="D26" s="53">
        <f>(1.45*4.05) + (1.45*10.46) + (1.15*4.4) + (1.15*11.51)</f>
        <v>39.335999999999999</v>
      </c>
      <c r="E26" s="46"/>
      <c r="F26" s="40"/>
      <c r="G26" s="109"/>
      <c r="H26" s="108"/>
    </row>
    <row r="27" spans="1:8" s="41" customFormat="1" ht="15" customHeight="1" x14ac:dyDescent="0.2">
      <c r="A27" s="52" t="s">
        <v>772</v>
      </c>
      <c r="B27" s="413" t="s">
        <v>786</v>
      </c>
      <c r="C27" s="414"/>
      <c r="D27" s="53">
        <f>(2.4*0.5*8)</f>
        <v>9.6</v>
      </c>
      <c r="E27" s="46"/>
      <c r="F27" s="40"/>
      <c r="G27" s="109"/>
      <c r="H27" s="108"/>
    </row>
    <row r="28" spans="1:8" s="41" customFormat="1" ht="15" customHeight="1" x14ac:dyDescent="0.2">
      <c r="A28" s="104" t="s">
        <v>194</v>
      </c>
      <c r="B28" s="413" t="s">
        <v>699</v>
      </c>
      <c r="C28" s="415"/>
      <c r="D28" s="119">
        <f>(0.6*1.9) + (0.5*1.5)</f>
        <v>1.89</v>
      </c>
      <c r="E28" s="46"/>
      <c r="F28" s="40"/>
      <c r="G28" s="109"/>
      <c r="H28" s="108"/>
    </row>
    <row r="29" spans="1:8" s="41" customFormat="1" x14ac:dyDescent="0.2">
      <c r="A29" s="410"/>
      <c r="B29" s="411"/>
      <c r="C29" s="411"/>
      <c r="D29" s="411"/>
      <c r="E29" s="412"/>
      <c r="F29" s="40"/>
      <c r="G29" s="54"/>
    </row>
    <row r="30" spans="1:8" s="41" customFormat="1" ht="15.75" customHeight="1" x14ac:dyDescent="0.2">
      <c r="A30" s="439" t="s">
        <v>149</v>
      </c>
      <c r="B30" s="440"/>
      <c r="C30" s="440"/>
      <c r="D30" s="75">
        <f>SUM(D31:D35)</f>
        <v>13.905000000000001</v>
      </c>
      <c r="E30" s="48" t="s">
        <v>45</v>
      </c>
      <c r="F30" s="40" t="s">
        <v>42</v>
      </c>
    </row>
    <row r="31" spans="1:8" s="41" customFormat="1" ht="15" customHeight="1" x14ac:dyDescent="0.2">
      <c r="A31" s="52" t="s">
        <v>828</v>
      </c>
      <c r="B31" s="420" t="s">
        <v>834</v>
      </c>
      <c r="C31" s="421"/>
      <c r="D31" s="53">
        <f>(1.8*4.4)</f>
        <v>7.9200000000000008</v>
      </c>
      <c r="E31" s="46"/>
      <c r="F31" s="40"/>
      <c r="G31" s="54"/>
    </row>
    <row r="32" spans="1:8" s="41" customFormat="1" ht="15" customHeight="1" x14ac:dyDescent="0.2">
      <c r="A32" s="52" t="s">
        <v>87</v>
      </c>
      <c r="B32" s="420" t="s">
        <v>835</v>
      </c>
      <c r="C32" s="421"/>
      <c r="D32" s="53">
        <f>(61.25*0.04)</f>
        <v>2.4500000000000002</v>
      </c>
      <c r="E32" s="46"/>
      <c r="F32" s="40"/>
      <c r="G32" s="54"/>
    </row>
    <row r="33" spans="1:7" s="41" customFormat="1" x14ac:dyDescent="0.2">
      <c r="A33" s="52" t="s">
        <v>94</v>
      </c>
      <c r="B33" s="413" t="s">
        <v>790</v>
      </c>
      <c r="C33" s="415"/>
      <c r="D33" s="53">
        <f>(0.06*4.1*8)</f>
        <v>1.9679999999999997</v>
      </c>
      <c r="E33" s="46"/>
      <c r="F33" s="40"/>
      <c r="G33" s="54"/>
    </row>
    <row r="34" spans="1:7" s="41" customFormat="1" x14ac:dyDescent="0.2">
      <c r="A34" s="52" t="s">
        <v>772</v>
      </c>
      <c r="B34" s="413" t="s">
        <v>787</v>
      </c>
      <c r="C34" s="414"/>
      <c r="D34" s="53">
        <f>(0.36*0.5*8)</f>
        <v>1.44</v>
      </c>
      <c r="E34" s="46"/>
      <c r="F34" s="40"/>
      <c r="G34" s="54"/>
    </row>
    <row r="35" spans="1:7" s="41" customFormat="1" x14ac:dyDescent="0.2">
      <c r="A35" s="104" t="s">
        <v>194</v>
      </c>
      <c r="B35" s="413" t="s">
        <v>700</v>
      </c>
      <c r="C35" s="414"/>
      <c r="D35" s="53">
        <f>(0.17*0.6) + (0.25*0.1)</f>
        <v>0.127</v>
      </c>
      <c r="E35" s="46"/>
      <c r="F35" s="40"/>
      <c r="G35" s="54"/>
    </row>
    <row r="36" spans="1:7" s="41" customFormat="1" ht="15.75" customHeight="1" x14ac:dyDescent="0.2">
      <c r="A36" s="410"/>
      <c r="B36" s="411"/>
      <c r="C36" s="411"/>
      <c r="D36" s="411"/>
      <c r="E36" s="412"/>
      <c r="F36" s="40"/>
      <c r="G36" s="54"/>
    </row>
    <row r="37" spans="1:7" s="41" customFormat="1" ht="15.75" customHeight="1" x14ac:dyDescent="0.2">
      <c r="A37" s="416" t="s">
        <v>745</v>
      </c>
      <c r="B37" s="417"/>
      <c r="C37" s="417"/>
      <c r="D37" s="76">
        <f>SUM(D38:D43)</f>
        <v>591.09</v>
      </c>
      <c r="E37" s="48" t="s">
        <v>51</v>
      </c>
      <c r="F37" s="40"/>
      <c r="G37" s="54"/>
    </row>
    <row r="38" spans="1:7" s="41" customFormat="1" ht="15.75" customHeight="1" x14ac:dyDescent="0.2">
      <c r="A38" s="52" t="s">
        <v>87</v>
      </c>
      <c r="B38" s="413" t="s">
        <v>836</v>
      </c>
      <c r="C38" s="415"/>
      <c r="D38" s="61">
        <f>(2.45*20)</f>
        <v>49</v>
      </c>
      <c r="E38" s="59"/>
      <c r="F38" s="40"/>
      <c r="G38" s="54"/>
    </row>
    <row r="39" spans="1:7" s="41" customFormat="1" ht="15.75" customHeight="1" x14ac:dyDescent="0.2">
      <c r="A39" s="52" t="s">
        <v>94</v>
      </c>
      <c r="B39" s="413">
        <v>101</v>
      </c>
      <c r="C39" s="415"/>
      <c r="D39" s="61">
        <f>101</f>
        <v>101</v>
      </c>
      <c r="E39" s="290"/>
      <c r="F39" s="40"/>
      <c r="G39" s="54"/>
    </row>
    <row r="40" spans="1:7" s="41" customFormat="1" ht="15.75" customHeight="1" x14ac:dyDescent="0.2">
      <c r="A40" s="104" t="s">
        <v>750</v>
      </c>
      <c r="B40" s="413" t="s">
        <v>795</v>
      </c>
      <c r="C40" s="415"/>
      <c r="D40" s="61">
        <f>124+159</f>
        <v>283</v>
      </c>
      <c r="E40" s="290"/>
      <c r="F40" s="40"/>
      <c r="G40" s="54"/>
    </row>
    <row r="41" spans="1:7" s="41" customFormat="1" ht="15.75" customHeight="1" x14ac:dyDescent="0.2">
      <c r="A41" s="52" t="s">
        <v>772</v>
      </c>
      <c r="B41" s="413">
        <v>59</v>
      </c>
      <c r="C41" s="415"/>
      <c r="D41" s="61">
        <f>59</f>
        <v>59</v>
      </c>
      <c r="E41" s="290"/>
      <c r="F41" s="40"/>
      <c r="G41" s="54"/>
    </row>
    <row r="42" spans="1:7" s="41" customFormat="1" ht="15.75" customHeight="1" x14ac:dyDescent="0.2">
      <c r="A42" s="104" t="s">
        <v>782</v>
      </c>
      <c r="B42" s="413">
        <v>92.59</v>
      </c>
      <c r="C42" s="415"/>
      <c r="D42" s="61">
        <f>92.59</f>
        <v>92.59</v>
      </c>
      <c r="E42" s="290"/>
      <c r="F42" s="40"/>
      <c r="G42" s="54"/>
    </row>
    <row r="43" spans="1:7" s="41" customFormat="1" ht="15.75" customHeight="1" x14ac:dyDescent="0.2">
      <c r="A43" s="104" t="s">
        <v>194</v>
      </c>
      <c r="B43" s="413" t="s">
        <v>796</v>
      </c>
      <c r="C43" s="415"/>
      <c r="D43" s="61">
        <f>0.13*50</f>
        <v>6.5</v>
      </c>
      <c r="E43" s="290"/>
      <c r="F43" s="40"/>
      <c r="G43" s="54"/>
    </row>
    <row r="44" spans="1:7" s="41" customFormat="1" ht="15.75" customHeight="1" x14ac:dyDescent="0.2">
      <c r="A44" s="410"/>
      <c r="B44" s="411"/>
      <c r="C44" s="411"/>
      <c r="D44" s="411"/>
      <c r="E44" s="412"/>
      <c r="F44" s="40"/>
      <c r="G44" s="54"/>
    </row>
    <row r="45" spans="1:7" s="41" customFormat="1" ht="15.75" customHeight="1" x14ac:dyDescent="0.2">
      <c r="A45" s="416" t="s">
        <v>746</v>
      </c>
      <c r="B45" s="417"/>
      <c r="C45" s="417"/>
      <c r="D45" s="76">
        <f>SUM(D46:D48)</f>
        <v>93</v>
      </c>
      <c r="E45" s="48" t="s">
        <v>51</v>
      </c>
      <c r="F45" s="40"/>
    </row>
    <row r="46" spans="1:7" s="51" customFormat="1" ht="16.5" customHeight="1" x14ac:dyDescent="0.2">
      <c r="A46" s="52" t="s">
        <v>94</v>
      </c>
      <c r="B46" s="413">
        <v>38</v>
      </c>
      <c r="C46" s="415"/>
      <c r="D46" s="61">
        <f>38</f>
        <v>38</v>
      </c>
      <c r="E46" s="131"/>
      <c r="F46" s="49"/>
      <c r="G46" s="62"/>
    </row>
    <row r="47" spans="1:7" s="51" customFormat="1" ht="16.5" customHeight="1" x14ac:dyDescent="0.2">
      <c r="A47" s="104" t="s">
        <v>750</v>
      </c>
      <c r="B47" s="413">
        <v>46</v>
      </c>
      <c r="C47" s="415"/>
      <c r="D47" s="61">
        <f>46</f>
        <v>46</v>
      </c>
      <c r="E47" s="290"/>
      <c r="F47" s="49"/>
      <c r="G47" s="62"/>
    </row>
    <row r="48" spans="1:7" s="51" customFormat="1" ht="16.5" customHeight="1" x14ac:dyDescent="0.2">
      <c r="A48" s="52" t="s">
        <v>772</v>
      </c>
      <c r="B48" s="413">
        <v>9</v>
      </c>
      <c r="C48" s="415"/>
      <c r="D48" s="61">
        <f>9</f>
        <v>9</v>
      </c>
      <c r="E48" s="290"/>
      <c r="F48" s="49"/>
      <c r="G48" s="62"/>
    </row>
    <row r="49" spans="1:7" s="41" customFormat="1" ht="15.75" customHeight="1" x14ac:dyDescent="0.2">
      <c r="A49" s="410"/>
      <c r="B49" s="411"/>
      <c r="C49" s="411"/>
      <c r="D49" s="411"/>
      <c r="E49" s="412"/>
      <c r="F49" s="40"/>
    </row>
    <row r="50" spans="1:7" s="41" customFormat="1" ht="15.75" customHeight="1" x14ac:dyDescent="0.2">
      <c r="A50" s="422" t="s">
        <v>211</v>
      </c>
      <c r="B50" s="423"/>
      <c r="C50" s="423"/>
      <c r="D50" s="75">
        <f>SUM(D51:D51)</f>
        <v>2.6000000000000002E-2</v>
      </c>
      <c r="E50" s="48" t="s">
        <v>45</v>
      </c>
      <c r="F50" s="40" t="s">
        <v>42</v>
      </c>
    </row>
    <row r="51" spans="1:7" s="41" customFormat="1" ht="15.75" customHeight="1" x14ac:dyDescent="0.2">
      <c r="A51" s="104" t="s">
        <v>194</v>
      </c>
      <c r="B51" s="413" t="s">
        <v>701</v>
      </c>
      <c r="C51" s="415"/>
      <c r="D51" s="65">
        <f>0.52*0.05</f>
        <v>2.6000000000000002E-2</v>
      </c>
      <c r="E51" s="64"/>
      <c r="F51" s="40"/>
    </row>
    <row r="52" spans="1:7" s="41" customFormat="1" ht="15.75" customHeight="1" x14ac:dyDescent="0.2">
      <c r="A52" s="410"/>
      <c r="B52" s="411"/>
      <c r="C52" s="411"/>
      <c r="D52" s="411"/>
      <c r="E52" s="412"/>
      <c r="F52" s="40"/>
    </row>
    <row r="53" spans="1:7" s="41" customFormat="1" ht="15.75" customHeight="1" x14ac:dyDescent="0.2">
      <c r="A53" s="422" t="s">
        <v>8</v>
      </c>
      <c r="B53" s="423"/>
      <c r="C53" s="423"/>
      <c r="D53" s="75">
        <f>SUM(D54:D54)</f>
        <v>22.319999999999993</v>
      </c>
      <c r="E53" s="66" t="s">
        <v>41</v>
      </c>
      <c r="F53" s="40" t="s">
        <v>42</v>
      </c>
    </row>
    <row r="54" spans="1:7" s="41" customFormat="1" ht="15.75" customHeight="1" x14ac:dyDescent="0.2">
      <c r="A54" s="63"/>
      <c r="B54" s="413" t="s">
        <v>702</v>
      </c>
      <c r="C54" s="415"/>
      <c r="D54" s="65">
        <f>(83.57-61.25)</f>
        <v>22.319999999999993</v>
      </c>
      <c r="E54" s="64"/>
      <c r="F54" s="40"/>
    </row>
    <row r="55" spans="1:7" s="41" customFormat="1" ht="15.75" customHeight="1" x14ac:dyDescent="0.2">
      <c r="A55" s="410"/>
      <c r="B55" s="411"/>
      <c r="C55" s="411"/>
      <c r="D55" s="411"/>
      <c r="E55" s="412"/>
      <c r="F55" s="40"/>
    </row>
    <row r="56" spans="1:7" s="41" customFormat="1" x14ac:dyDescent="0.2">
      <c r="A56" s="422" t="s">
        <v>52</v>
      </c>
      <c r="B56" s="423"/>
      <c r="C56" s="423"/>
      <c r="D56" s="75">
        <f>SUM(D57:D57)</f>
        <v>184.8</v>
      </c>
      <c r="E56" s="48" t="s">
        <v>45</v>
      </c>
      <c r="F56" s="40" t="s">
        <v>42</v>
      </c>
    </row>
    <row r="57" spans="1:7" s="51" customFormat="1" ht="16.5" customHeight="1" x14ac:dyDescent="0.2">
      <c r="A57" s="63" t="s">
        <v>87</v>
      </c>
      <c r="B57" s="413" t="s">
        <v>703</v>
      </c>
      <c r="C57" s="415"/>
      <c r="D57" s="65">
        <f>12*4.4*3.5</f>
        <v>184.8</v>
      </c>
      <c r="E57" s="64"/>
      <c r="F57" s="49"/>
    </row>
    <row r="58" spans="1:7" s="41" customFormat="1" ht="15.75" customHeight="1" x14ac:dyDescent="0.2">
      <c r="A58" s="410"/>
      <c r="B58" s="411"/>
      <c r="C58" s="411"/>
      <c r="D58" s="411"/>
      <c r="E58" s="412"/>
      <c r="F58" s="40"/>
      <c r="G58" s="54"/>
    </row>
    <row r="59" spans="1:7" s="41" customFormat="1" x14ac:dyDescent="0.2">
      <c r="A59" s="418" t="s">
        <v>53</v>
      </c>
      <c r="B59" s="419"/>
      <c r="C59" s="419"/>
      <c r="D59" s="75">
        <f>SUM(D60:D65)</f>
        <v>492.49149999999997</v>
      </c>
      <c r="E59" s="66" t="s">
        <v>41</v>
      </c>
      <c r="F59" s="40" t="s">
        <v>42</v>
      </c>
    </row>
    <row r="60" spans="1:7" s="51" customFormat="1" ht="15" customHeight="1" x14ac:dyDescent="0.2">
      <c r="A60" s="52" t="s">
        <v>87</v>
      </c>
      <c r="B60" s="420" t="s">
        <v>704</v>
      </c>
      <c r="C60" s="421"/>
      <c r="D60" s="53">
        <f>(12.2*4.9) + (12*4.4*3) + (0.3*32.79) + (0.45*34.79) + (12*2*4.4)</f>
        <v>349.27249999999998</v>
      </c>
      <c r="E60" s="46"/>
      <c r="F60" s="49"/>
    </row>
    <row r="61" spans="1:7" s="41" customFormat="1" ht="15.75" customHeight="1" x14ac:dyDescent="0.2">
      <c r="A61" s="52" t="s">
        <v>94</v>
      </c>
      <c r="B61" s="420" t="s">
        <v>698</v>
      </c>
      <c r="C61" s="421"/>
      <c r="D61" s="53">
        <f>(1*4.1*8)</f>
        <v>32.799999999999997</v>
      </c>
      <c r="E61" s="46"/>
      <c r="F61" s="40"/>
      <c r="G61" s="54"/>
    </row>
    <row r="62" spans="1:7" s="41" customFormat="1" ht="15.75" customHeight="1" x14ac:dyDescent="0.2">
      <c r="A62" s="52" t="s">
        <v>750</v>
      </c>
      <c r="B62" s="413" t="s">
        <v>792</v>
      </c>
      <c r="C62" s="414"/>
      <c r="D62" s="53">
        <f>(1.6*4.05) + (1.6*10.46) + (1.3*4.4) + (1.3*11.51)</f>
        <v>43.899000000000001</v>
      </c>
      <c r="E62" s="46"/>
      <c r="F62" s="40"/>
      <c r="G62" s="54"/>
    </row>
    <row r="63" spans="1:7" s="41" customFormat="1" ht="15.75" customHeight="1" x14ac:dyDescent="0.2">
      <c r="A63" s="52" t="s">
        <v>772</v>
      </c>
      <c r="B63" s="413" t="s">
        <v>789</v>
      </c>
      <c r="C63" s="414"/>
      <c r="D63" s="53">
        <f>(2.4*0.5*8) + (0.36*2*8)</f>
        <v>15.36</v>
      </c>
      <c r="E63" s="46"/>
      <c r="F63" s="40"/>
      <c r="G63" s="54"/>
    </row>
    <row r="64" spans="1:7" s="41" customFormat="1" ht="15.75" customHeight="1" x14ac:dyDescent="0.2">
      <c r="A64" s="104" t="s">
        <v>194</v>
      </c>
      <c r="B64" s="420" t="s">
        <v>705</v>
      </c>
      <c r="C64" s="431"/>
      <c r="D64" s="53">
        <f>(0.6*1.9) + (0.5*1.5) + 0.25 + 0.42</f>
        <v>2.5599999999999996</v>
      </c>
      <c r="E64" s="46"/>
      <c r="F64" s="40"/>
      <c r="G64" s="54"/>
    </row>
    <row r="65" spans="1:7" s="41" customFormat="1" ht="15.75" customHeight="1" x14ac:dyDescent="0.2">
      <c r="A65" s="52" t="s">
        <v>173</v>
      </c>
      <c r="B65" s="420" t="s">
        <v>706</v>
      </c>
      <c r="C65" s="431"/>
      <c r="D65" s="53">
        <f>((83.57-61.25) *2)+ (0.1*39.6)</f>
        <v>48.599999999999987</v>
      </c>
      <c r="E65" s="46"/>
      <c r="F65" s="40"/>
      <c r="G65" s="54"/>
    </row>
    <row r="66" spans="1:7" s="41" customFormat="1" ht="15.75" customHeight="1" x14ac:dyDescent="0.2">
      <c r="A66" s="410"/>
      <c r="B66" s="411"/>
      <c r="C66" s="411"/>
      <c r="D66" s="411"/>
      <c r="E66" s="412"/>
      <c r="F66" s="40"/>
      <c r="G66" s="54"/>
    </row>
    <row r="67" spans="1:7" s="41" customFormat="1" x14ac:dyDescent="0.2">
      <c r="A67" s="418" t="s">
        <v>54</v>
      </c>
      <c r="B67" s="419"/>
      <c r="C67" s="419"/>
      <c r="D67" s="76">
        <f>SUM(D68:D70)*1.04</f>
        <v>117.0676</v>
      </c>
      <c r="E67" s="48" t="s">
        <v>41</v>
      </c>
      <c r="F67" s="40" t="s">
        <v>42</v>
      </c>
    </row>
    <row r="68" spans="1:7" s="51" customFormat="1" ht="15.75" customHeight="1" x14ac:dyDescent="0.2">
      <c r="A68" s="63" t="s">
        <v>203</v>
      </c>
      <c r="B68" s="413" t="s">
        <v>707</v>
      </c>
      <c r="C68" s="415"/>
      <c r="D68" s="67">
        <f>(((3.875*2*2)+(4.4*2)+(3.75*2))*3.2) - ((1.1*0.5*8)+(0.5*0.5*16)+(1.6*3.2)+(1.1*2.1) +0.32)</f>
        <v>85.61</v>
      </c>
      <c r="E68" s="64"/>
      <c r="F68" s="49"/>
    </row>
    <row r="69" spans="1:7" s="51" customFormat="1" ht="16.5" customHeight="1" x14ac:dyDescent="0.2">
      <c r="A69" s="132" t="s">
        <v>176</v>
      </c>
      <c r="B69" s="413" t="s">
        <v>708</v>
      </c>
      <c r="C69" s="415"/>
      <c r="D69" s="112">
        <f>24.4*0.3</f>
        <v>7.3199999999999994</v>
      </c>
      <c r="E69" s="64"/>
      <c r="F69" s="49"/>
    </row>
    <row r="70" spans="1:7" s="51" customFormat="1" ht="16.5" customHeight="1" x14ac:dyDescent="0.2">
      <c r="A70" s="132" t="s">
        <v>99</v>
      </c>
      <c r="B70" s="413" t="s">
        <v>709</v>
      </c>
      <c r="C70" s="415"/>
      <c r="D70" s="67">
        <f>35.7*0.55</f>
        <v>19.635000000000002</v>
      </c>
      <c r="E70" s="64"/>
      <c r="F70" s="49"/>
    </row>
    <row r="71" spans="1:7" s="41" customFormat="1" x14ac:dyDescent="0.2">
      <c r="A71" s="410"/>
      <c r="B71" s="411"/>
      <c r="C71" s="411"/>
      <c r="D71" s="411"/>
      <c r="E71" s="412"/>
      <c r="F71" s="40"/>
      <c r="G71" s="54"/>
    </row>
    <row r="72" spans="1:7" s="41" customFormat="1" x14ac:dyDescent="0.2">
      <c r="A72" s="416" t="s">
        <v>205</v>
      </c>
      <c r="B72" s="426"/>
      <c r="C72" s="426"/>
      <c r="D72" s="68">
        <f>SUM(D73:D73)</f>
        <v>52.8</v>
      </c>
      <c r="E72" s="48" t="s">
        <v>41</v>
      </c>
      <c r="F72" s="40" t="s">
        <v>42</v>
      </c>
      <c r="G72" s="54"/>
    </row>
    <row r="73" spans="1:7" s="41" customFormat="1" x14ac:dyDescent="0.2">
      <c r="A73" s="69"/>
      <c r="B73" s="424">
        <v>52.8</v>
      </c>
      <c r="C73" s="427"/>
      <c r="D73" s="58">
        <f>52.8</f>
        <v>52.8</v>
      </c>
      <c r="E73" s="59"/>
      <c r="F73" s="40"/>
      <c r="G73" s="54"/>
    </row>
    <row r="74" spans="1:7" s="41" customFormat="1" x14ac:dyDescent="0.2">
      <c r="A74" s="428"/>
      <c r="B74" s="429"/>
      <c r="C74" s="429"/>
      <c r="D74" s="429"/>
      <c r="E74" s="430"/>
      <c r="F74" s="40"/>
      <c r="G74" s="54"/>
    </row>
    <row r="75" spans="1:7" s="41" customFormat="1" x14ac:dyDescent="0.2">
      <c r="A75" s="416" t="s">
        <v>181</v>
      </c>
      <c r="B75" s="426"/>
      <c r="C75" s="426"/>
      <c r="D75" s="68">
        <f>SUM(D76:D76)</f>
        <v>30.099999999999994</v>
      </c>
      <c r="E75" s="48" t="s">
        <v>55</v>
      </c>
      <c r="F75" s="40" t="s">
        <v>42</v>
      </c>
      <c r="G75" s="54"/>
    </row>
    <row r="76" spans="1:7" s="41" customFormat="1" x14ac:dyDescent="0.2">
      <c r="A76" s="69"/>
      <c r="B76" s="424" t="s">
        <v>710</v>
      </c>
      <c r="C76" s="427"/>
      <c r="D76" s="58">
        <f>(32.8-1.6-1.1)</f>
        <v>30.099999999999994</v>
      </c>
      <c r="E76" s="59"/>
      <c r="F76" s="40"/>
      <c r="G76" s="54"/>
    </row>
    <row r="77" spans="1:7" s="41" customFormat="1" x14ac:dyDescent="0.2">
      <c r="A77" s="428"/>
      <c r="B77" s="429"/>
      <c r="C77" s="429"/>
      <c r="D77" s="429"/>
      <c r="E77" s="430"/>
      <c r="F77" s="40"/>
      <c r="G77" s="54"/>
    </row>
    <row r="78" spans="1:7" s="41" customFormat="1" x14ac:dyDescent="0.2">
      <c r="A78" s="416" t="s">
        <v>177</v>
      </c>
      <c r="B78" s="426"/>
      <c r="C78" s="426"/>
      <c r="D78" s="68">
        <f>SUM(D79:D80)</f>
        <v>7.4300000000000015</v>
      </c>
      <c r="E78" s="48" t="s">
        <v>41</v>
      </c>
      <c r="F78" s="40" t="s">
        <v>42</v>
      </c>
      <c r="G78" s="54"/>
    </row>
    <row r="79" spans="1:7" s="41" customFormat="1" x14ac:dyDescent="0.2">
      <c r="A79" s="69" t="s">
        <v>184</v>
      </c>
      <c r="B79" s="424" t="s">
        <v>195</v>
      </c>
      <c r="C79" s="427"/>
      <c r="D79" s="58">
        <f>1.6*3.2</f>
        <v>5.120000000000001</v>
      </c>
      <c r="E79" s="59"/>
      <c r="F79" s="40"/>
      <c r="G79" s="54"/>
    </row>
    <row r="80" spans="1:7" s="41" customFormat="1" x14ac:dyDescent="0.2">
      <c r="A80" s="133" t="s">
        <v>196</v>
      </c>
      <c r="B80" s="424" t="s">
        <v>188</v>
      </c>
      <c r="C80" s="425"/>
      <c r="D80" s="135">
        <f>1.1*2.1</f>
        <v>2.3100000000000005</v>
      </c>
      <c r="E80" s="59"/>
      <c r="F80" s="40"/>
      <c r="G80" s="54"/>
    </row>
    <row r="81" spans="1:7" s="41" customFormat="1" x14ac:dyDescent="0.2">
      <c r="A81" s="428"/>
      <c r="B81" s="429"/>
      <c r="C81" s="429"/>
      <c r="D81" s="429"/>
      <c r="E81" s="430"/>
      <c r="F81" s="40"/>
      <c r="G81" s="54"/>
    </row>
    <row r="82" spans="1:7" s="41" customFormat="1" x14ac:dyDescent="0.2">
      <c r="A82" s="416" t="s">
        <v>189</v>
      </c>
      <c r="B82" s="426"/>
      <c r="C82" s="426"/>
      <c r="D82" s="68">
        <f>SUM(D83:D84)</f>
        <v>8.4</v>
      </c>
      <c r="E82" s="48" t="s">
        <v>41</v>
      </c>
      <c r="F82" s="40" t="s">
        <v>42</v>
      </c>
      <c r="G82" s="54"/>
    </row>
    <row r="83" spans="1:7" s="41" customFormat="1" x14ac:dyDescent="0.2">
      <c r="A83" s="69" t="s">
        <v>186</v>
      </c>
      <c r="B83" s="424" t="s">
        <v>197</v>
      </c>
      <c r="C83" s="427"/>
      <c r="D83" s="58">
        <f>(1.1*0.5)*8</f>
        <v>4.4000000000000004</v>
      </c>
      <c r="E83" s="59"/>
      <c r="F83" s="40"/>
      <c r="G83" s="54"/>
    </row>
    <row r="84" spans="1:7" s="41" customFormat="1" x14ac:dyDescent="0.2">
      <c r="A84" s="133" t="s">
        <v>187</v>
      </c>
      <c r="B84" s="424" t="s">
        <v>198</v>
      </c>
      <c r="C84" s="425"/>
      <c r="D84" s="135">
        <f>0.5*0.5*16</f>
        <v>4</v>
      </c>
      <c r="E84" s="59"/>
      <c r="F84" s="40"/>
      <c r="G84" s="54"/>
    </row>
    <row r="85" spans="1:7" s="41" customFormat="1" x14ac:dyDescent="0.2">
      <c r="A85" s="428"/>
      <c r="B85" s="429"/>
      <c r="C85" s="429"/>
      <c r="D85" s="429"/>
      <c r="E85" s="430"/>
      <c r="F85" s="40"/>
      <c r="G85" s="54"/>
    </row>
    <row r="86" spans="1:7" s="41" customFormat="1" x14ac:dyDescent="0.2">
      <c r="A86" s="416" t="s">
        <v>182</v>
      </c>
      <c r="B86" s="426"/>
      <c r="C86" s="426"/>
      <c r="D86" s="68">
        <f>SUM(D87:D88)</f>
        <v>0.40500000000000003</v>
      </c>
      <c r="E86" s="48" t="s">
        <v>41</v>
      </c>
      <c r="F86" s="40" t="s">
        <v>42</v>
      </c>
      <c r="G86" s="54"/>
    </row>
    <row r="87" spans="1:7" s="41" customFormat="1" x14ac:dyDescent="0.2">
      <c r="A87" s="69" t="s">
        <v>184</v>
      </c>
      <c r="B87" s="424" t="s">
        <v>183</v>
      </c>
      <c r="C87" s="427"/>
      <c r="D87" s="58">
        <f>1.1*0.15</f>
        <v>0.16500000000000001</v>
      </c>
      <c r="E87" s="59"/>
      <c r="F87" s="40"/>
      <c r="G87" s="54"/>
    </row>
    <row r="88" spans="1:7" s="41" customFormat="1" x14ac:dyDescent="0.2">
      <c r="A88" s="69" t="s">
        <v>196</v>
      </c>
      <c r="B88" s="427" t="s">
        <v>199</v>
      </c>
      <c r="C88" s="427"/>
      <c r="D88" s="58">
        <f>(1.6*0.15)</f>
        <v>0.24</v>
      </c>
      <c r="E88" s="131"/>
      <c r="F88" s="40"/>
      <c r="G88" s="54"/>
    </row>
    <row r="89" spans="1:7" s="41" customFormat="1" x14ac:dyDescent="0.2">
      <c r="A89" s="428"/>
      <c r="B89" s="429"/>
      <c r="C89" s="429"/>
      <c r="D89" s="429"/>
      <c r="E89" s="430"/>
      <c r="F89" s="40"/>
      <c r="G89" s="54"/>
    </row>
    <row r="90" spans="1:7" s="41" customFormat="1" x14ac:dyDescent="0.2">
      <c r="A90" s="416" t="s">
        <v>185</v>
      </c>
      <c r="B90" s="426"/>
      <c r="C90" s="426"/>
      <c r="D90" s="68">
        <f>SUM(D91:D92)</f>
        <v>16.8</v>
      </c>
      <c r="E90" s="48" t="s">
        <v>55</v>
      </c>
      <c r="F90" s="40" t="s">
        <v>42</v>
      </c>
      <c r="G90" s="54"/>
    </row>
    <row r="91" spans="1:7" s="41" customFormat="1" x14ac:dyDescent="0.2">
      <c r="A91" s="69" t="s">
        <v>186</v>
      </c>
      <c r="B91" s="424" t="s">
        <v>200</v>
      </c>
      <c r="C91" s="427"/>
      <c r="D91" s="58">
        <f>1.1*8</f>
        <v>8.8000000000000007</v>
      </c>
      <c r="E91" s="59"/>
      <c r="F91" s="40"/>
      <c r="G91" s="54"/>
    </row>
    <row r="92" spans="1:7" s="41" customFormat="1" x14ac:dyDescent="0.2">
      <c r="A92" s="133" t="s">
        <v>187</v>
      </c>
      <c r="B92" s="424" t="s">
        <v>201</v>
      </c>
      <c r="C92" s="425"/>
      <c r="D92" s="58">
        <f>0.5*16</f>
        <v>8</v>
      </c>
      <c r="E92" s="131"/>
      <c r="F92" s="40"/>
      <c r="G92" s="54"/>
    </row>
    <row r="93" spans="1:7" s="41" customFormat="1" x14ac:dyDescent="0.2">
      <c r="A93" s="428"/>
      <c r="B93" s="429"/>
      <c r="C93" s="429"/>
      <c r="D93" s="429"/>
      <c r="E93" s="430"/>
      <c r="F93" s="40"/>
      <c r="G93" s="54"/>
    </row>
    <row r="94" spans="1:7" s="41" customFormat="1" x14ac:dyDescent="0.2">
      <c r="A94" s="416" t="s">
        <v>204</v>
      </c>
      <c r="B94" s="426"/>
      <c r="C94" s="426"/>
      <c r="D94" s="68">
        <f>SUM(D95:D95)</f>
        <v>58.804000000000002</v>
      </c>
      <c r="E94" s="48" t="s">
        <v>41</v>
      </c>
      <c r="F94" s="40" t="s">
        <v>42</v>
      </c>
    </row>
    <row r="95" spans="1:7" s="41" customFormat="1" x14ac:dyDescent="0.2">
      <c r="A95" s="69"/>
      <c r="B95" s="424" t="s">
        <v>711</v>
      </c>
      <c r="C95" s="427"/>
      <c r="D95" s="58">
        <f>4.82*12.2</f>
        <v>58.804000000000002</v>
      </c>
      <c r="E95" s="59"/>
      <c r="F95" s="40"/>
    </row>
    <row r="96" spans="1:7" s="41" customFormat="1" x14ac:dyDescent="0.2">
      <c r="A96" s="428"/>
      <c r="B96" s="429"/>
      <c r="C96" s="429"/>
      <c r="D96" s="429"/>
      <c r="E96" s="430"/>
      <c r="F96" s="40"/>
    </row>
    <row r="97" spans="1:6" s="41" customFormat="1" x14ac:dyDescent="0.2">
      <c r="A97" s="416" t="s">
        <v>121</v>
      </c>
      <c r="B97" s="426"/>
      <c r="C97" s="426"/>
      <c r="D97" s="68">
        <f>SUM(D98:D98)</f>
        <v>12.17</v>
      </c>
      <c r="E97" s="48" t="s">
        <v>55</v>
      </c>
      <c r="F97" s="40" t="s">
        <v>42</v>
      </c>
    </row>
    <row r="98" spans="1:6" s="41" customFormat="1" x14ac:dyDescent="0.2">
      <c r="A98" s="69"/>
      <c r="B98" s="424">
        <v>12.17</v>
      </c>
      <c r="C98" s="427"/>
      <c r="D98" s="58">
        <f>12.17</f>
        <v>12.17</v>
      </c>
      <c r="E98" s="59"/>
      <c r="F98" s="40"/>
    </row>
    <row r="99" spans="1:6" s="41" customFormat="1" x14ac:dyDescent="0.2">
      <c r="A99" s="428"/>
      <c r="B99" s="429"/>
      <c r="C99" s="429"/>
      <c r="D99" s="429"/>
      <c r="E99" s="430"/>
      <c r="F99" s="40"/>
    </row>
    <row r="100" spans="1:6" s="41" customFormat="1" x14ac:dyDescent="0.2">
      <c r="A100" s="416" t="s">
        <v>129</v>
      </c>
      <c r="B100" s="426"/>
      <c r="C100" s="426"/>
      <c r="D100" s="68">
        <f>SUM(D101:D101)</f>
        <v>35.700000000000003</v>
      </c>
      <c r="E100" s="48" t="s">
        <v>55</v>
      </c>
      <c r="F100" s="40" t="s">
        <v>42</v>
      </c>
    </row>
    <row r="101" spans="1:6" s="41" customFormat="1" x14ac:dyDescent="0.2">
      <c r="A101" s="69"/>
      <c r="B101" s="424">
        <v>35.700000000000003</v>
      </c>
      <c r="C101" s="427"/>
      <c r="D101" s="58">
        <f>35.7</f>
        <v>35.700000000000003</v>
      </c>
      <c r="E101" s="59"/>
      <c r="F101" s="40"/>
    </row>
    <row r="102" spans="1:6" s="41" customFormat="1" x14ac:dyDescent="0.2">
      <c r="A102" s="428"/>
      <c r="B102" s="429"/>
      <c r="C102" s="429"/>
      <c r="D102" s="429"/>
      <c r="E102" s="430"/>
      <c r="F102" s="40"/>
    </row>
    <row r="103" spans="1:6" s="41" customFormat="1" x14ac:dyDescent="0.2">
      <c r="A103" s="416" t="s">
        <v>180</v>
      </c>
      <c r="B103" s="426"/>
      <c r="C103" s="426"/>
      <c r="D103" s="68">
        <f>SUM(D104:D106)</f>
        <v>303.15699999999998</v>
      </c>
      <c r="E103" s="48" t="s">
        <v>41</v>
      </c>
      <c r="F103" s="40" t="s">
        <v>42</v>
      </c>
    </row>
    <row r="104" spans="1:6" s="41" customFormat="1" ht="24" customHeight="1" x14ac:dyDescent="0.2">
      <c r="A104" s="63" t="s">
        <v>203</v>
      </c>
      <c r="B104" s="413" t="s">
        <v>712</v>
      </c>
      <c r="C104" s="438"/>
      <c r="D104" s="71">
        <f>((32.8*3.5) - ((0.55*8)+(0.25*16)+2.31+5.12+0.204)) + ((32.8*3.75) - ((0.55*8)+(0.25*16)+2.31+5.12+0.204))</f>
        <v>205.73199999999997</v>
      </c>
      <c r="E104" s="72"/>
      <c r="F104" s="40"/>
    </row>
    <row r="105" spans="1:6" s="41" customFormat="1" x14ac:dyDescent="0.2">
      <c r="A105" s="132" t="s">
        <v>99</v>
      </c>
      <c r="B105" s="413" t="s">
        <v>713</v>
      </c>
      <c r="C105" s="415"/>
      <c r="D105" s="67">
        <f>(35.7*0.55*2) + (0.15*35.7)</f>
        <v>44.625</v>
      </c>
      <c r="E105" s="113"/>
      <c r="F105" s="40"/>
    </row>
    <row r="106" spans="1:6" s="41" customFormat="1" x14ac:dyDescent="0.2">
      <c r="A106" s="132" t="s">
        <v>179</v>
      </c>
      <c r="B106" s="413" t="s">
        <v>202</v>
      </c>
      <c r="C106" s="415"/>
      <c r="D106" s="67">
        <f>12*4.4</f>
        <v>52.800000000000004</v>
      </c>
      <c r="E106" s="113"/>
      <c r="F106" s="40"/>
    </row>
    <row r="107" spans="1:6" s="41" customFormat="1" x14ac:dyDescent="0.2">
      <c r="A107" s="435"/>
      <c r="B107" s="436"/>
      <c r="C107" s="436"/>
      <c r="D107" s="436"/>
      <c r="E107" s="437"/>
      <c r="F107" s="40"/>
    </row>
    <row r="108" spans="1:6" s="41" customFormat="1" x14ac:dyDescent="0.2">
      <c r="A108" s="416" t="s">
        <v>190</v>
      </c>
      <c r="B108" s="426"/>
      <c r="C108" s="426"/>
      <c r="D108" s="68">
        <f>SUM(D109:D110)</f>
        <v>250.35699999999997</v>
      </c>
      <c r="E108" s="48" t="s">
        <v>41</v>
      </c>
      <c r="F108" s="40" t="s">
        <v>42</v>
      </c>
    </row>
    <row r="109" spans="1:6" s="41" customFormat="1" ht="23.25" customHeight="1" x14ac:dyDescent="0.2">
      <c r="A109" s="63" t="s">
        <v>203</v>
      </c>
      <c r="B109" s="413" t="s">
        <v>712</v>
      </c>
      <c r="C109" s="438"/>
      <c r="D109" s="71">
        <f>((32.8*3.5) - ((0.55*8)+(0.25*16)+2.31+5.12+0.204)) + ((32.8*3.75) - ((0.55*8)+(0.25*16)+2.31+5.12+0.204))</f>
        <v>205.73199999999997</v>
      </c>
      <c r="E109" s="72"/>
      <c r="F109" s="40"/>
    </row>
    <row r="110" spans="1:6" s="41" customFormat="1" x14ac:dyDescent="0.2">
      <c r="A110" s="282" t="s">
        <v>99</v>
      </c>
      <c r="B110" s="413" t="s">
        <v>713</v>
      </c>
      <c r="C110" s="415"/>
      <c r="D110" s="67">
        <f>(35.7*0.55*2) + (0.15*35.7)</f>
        <v>44.625</v>
      </c>
      <c r="E110" s="113"/>
      <c r="F110" s="40"/>
    </row>
    <row r="111" spans="1:6" s="41" customFormat="1" x14ac:dyDescent="0.2">
      <c r="A111" s="435"/>
      <c r="B111" s="436"/>
      <c r="C111" s="436"/>
      <c r="D111" s="436"/>
      <c r="E111" s="437"/>
      <c r="F111" s="40"/>
    </row>
    <row r="112" spans="1:6" x14ac:dyDescent="0.25">
      <c r="A112" s="416" t="s">
        <v>793</v>
      </c>
      <c r="B112" s="426"/>
      <c r="C112" s="426"/>
      <c r="D112" s="68">
        <f>SUM(D113:D113)</f>
        <v>48</v>
      </c>
      <c r="E112" s="48" t="s">
        <v>55</v>
      </c>
    </row>
    <row r="113" spans="1:5" x14ac:dyDescent="0.25">
      <c r="A113" s="69"/>
      <c r="B113" s="424" t="s">
        <v>794</v>
      </c>
      <c r="C113" s="427"/>
      <c r="D113" s="58">
        <f>6*8</f>
        <v>48</v>
      </c>
      <c r="E113" s="59"/>
    </row>
    <row r="114" spans="1:5" x14ac:dyDescent="0.25">
      <c r="A114" s="428"/>
      <c r="B114" s="429"/>
      <c r="C114" s="429"/>
      <c r="D114" s="429"/>
      <c r="E114" s="430"/>
    </row>
  </sheetData>
  <mergeCells count="115">
    <mergeCell ref="A44:E44"/>
    <mergeCell ref="B42:C42"/>
    <mergeCell ref="A37:C37"/>
    <mergeCell ref="B38:C38"/>
    <mergeCell ref="B39:C39"/>
    <mergeCell ref="B40:C40"/>
    <mergeCell ref="B41:C41"/>
    <mergeCell ref="A112:C112"/>
    <mergeCell ref="A89:E89"/>
    <mergeCell ref="A90:C90"/>
    <mergeCell ref="B91:C91"/>
    <mergeCell ref="B92:C92"/>
    <mergeCell ref="A93:E93"/>
    <mergeCell ref="A94:C94"/>
    <mergeCell ref="B95:C95"/>
    <mergeCell ref="A96:E96"/>
    <mergeCell ref="A97:C97"/>
    <mergeCell ref="A85:E85"/>
    <mergeCell ref="A74:E74"/>
    <mergeCell ref="A75:C75"/>
    <mergeCell ref="B76:C76"/>
    <mergeCell ref="A77:E77"/>
    <mergeCell ref="A78:C78"/>
    <mergeCell ref="B79:C79"/>
    <mergeCell ref="B113:C113"/>
    <mergeCell ref="A114:E114"/>
    <mergeCell ref="B46:C46"/>
    <mergeCell ref="B47:C47"/>
    <mergeCell ref="B48:C48"/>
    <mergeCell ref="B109:C109"/>
    <mergeCell ref="B110:C110"/>
    <mergeCell ref="A111:E111"/>
    <mergeCell ref="B35:C35"/>
    <mergeCell ref="B64:C64"/>
    <mergeCell ref="B88:C88"/>
    <mergeCell ref="B105:C105"/>
    <mergeCell ref="B106:C106"/>
    <mergeCell ref="A107:E107"/>
    <mergeCell ref="A108:C108"/>
    <mergeCell ref="A99:E99"/>
    <mergeCell ref="A100:C100"/>
    <mergeCell ref="B101:C101"/>
    <mergeCell ref="A102:E102"/>
    <mergeCell ref="A103:C103"/>
    <mergeCell ref="B104:C104"/>
    <mergeCell ref="B98:C98"/>
    <mergeCell ref="A86:C86"/>
    <mergeCell ref="B87:C87"/>
    <mergeCell ref="B80:C80"/>
    <mergeCell ref="A81:E81"/>
    <mergeCell ref="A82:C82"/>
    <mergeCell ref="B83:C83"/>
    <mergeCell ref="B84:C84"/>
    <mergeCell ref="B69:C69"/>
    <mergeCell ref="B70:C70"/>
    <mergeCell ref="A71:E71"/>
    <mergeCell ref="A72:C72"/>
    <mergeCell ref="B73:C73"/>
    <mergeCell ref="B33:C33"/>
    <mergeCell ref="B27:C27"/>
    <mergeCell ref="B34:C34"/>
    <mergeCell ref="B26:C26"/>
    <mergeCell ref="B61:C61"/>
    <mergeCell ref="B65:C65"/>
    <mergeCell ref="A66:E66"/>
    <mergeCell ref="A67:C67"/>
    <mergeCell ref="B68:C68"/>
    <mergeCell ref="B63:C63"/>
    <mergeCell ref="B62:C62"/>
    <mergeCell ref="B60:C60"/>
    <mergeCell ref="A45:C45"/>
    <mergeCell ref="A49:E49"/>
    <mergeCell ref="A53:C53"/>
    <mergeCell ref="B54:C54"/>
    <mergeCell ref="A52:E52"/>
    <mergeCell ref="A55:E55"/>
    <mergeCell ref="A56:C56"/>
    <mergeCell ref="B57:C57"/>
    <mergeCell ref="A58:E58"/>
    <mergeCell ref="A59:C59"/>
    <mergeCell ref="B51:C51"/>
    <mergeCell ref="B43:C43"/>
    <mergeCell ref="B21:C21"/>
    <mergeCell ref="A22:E22"/>
    <mergeCell ref="A23:C23"/>
    <mergeCell ref="B24:C24"/>
    <mergeCell ref="B25:C25"/>
    <mergeCell ref="B28:C28"/>
    <mergeCell ref="A29:E29"/>
    <mergeCell ref="A30:C30"/>
    <mergeCell ref="B31:C31"/>
    <mergeCell ref="D1:E1"/>
    <mergeCell ref="A2:B2"/>
    <mergeCell ref="D2:E2"/>
    <mergeCell ref="A3:E3"/>
    <mergeCell ref="A4:C4"/>
    <mergeCell ref="A5:C5"/>
    <mergeCell ref="B11:C11"/>
    <mergeCell ref="B15:C15"/>
    <mergeCell ref="A50:C50"/>
    <mergeCell ref="A19:E19"/>
    <mergeCell ref="A6:C6"/>
    <mergeCell ref="B7:C7"/>
    <mergeCell ref="A8:E8"/>
    <mergeCell ref="A9:C9"/>
    <mergeCell ref="B10:C10"/>
    <mergeCell ref="A12:E12"/>
    <mergeCell ref="A13:C13"/>
    <mergeCell ref="B14:C14"/>
    <mergeCell ref="A16:E16"/>
    <mergeCell ref="A17:C17"/>
    <mergeCell ref="B32:C32"/>
    <mergeCell ref="B18:C18"/>
    <mergeCell ref="A36:E36"/>
    <mergeCell ref="A20:C20"/>
  </mergeCells>
  <printOptions horizontalCentered="1"/>
  <pageMargins left="0.98425196850393704" right="0.98425196850393704" top="0.98425196850393704" bottom="0.98425196850393704" header="0.31496062992125984" footer="0.31496062992125984"/>
  <pageSetup paperSize="9" scale="75" orientation="portrait" verticalDpi="200" r:id="rId1"/>
  <headerFooter>
    <oddHeader>&amp;L&amp;G&amp;R&amp;G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15</vt:i4>
      </vt:variant>
      <vt:variant>
        <vt:lpstr>Intervalos Nomeados</vt:lpstr>
      </vt:variant>
      <vt:variant>
        <vt:i4>30</vt:i4>
      </vt:variant>
    </vt:vector>
  </HeadingPairs>
  <TitlesOfParts>
    <vt:vector size="45" baseType="lpstr">
      <vt:lpstr>ESC AAB</vt:lpstr>
      <vt:lpstr>ESC ETA-EER</vt:lpstr>
      <vt:lpstr>ESC ETA-ESG</vt:lpstr>
      <vt:lpstr>ESC ETA-DRE</vt:lpstr>
      <vt:lpstr>ESC ETA-INT</vt:lpstr>
      <vt:lpstr>CAPTAÇÃO</vt:lpstr>
      <vt:lpstr>CX AAB</vt:lpstr>
      <vt:lpstr>ETA-CABINE</vt:lpstr>
      <vt:lpstr>ETA-ELETRICA ETA PRE</vt:lpstr>
      <vt:lpstr>ETA-EAT</vt:lpstr>
      <vt:lpstr>ETA-ELETRICA E CABINE</vt:lpstr>
      <vt:lpstr>ETA-UTR</vt:lpstr>
      <vt:lpstr>ETA-CQ</vt:lpstr>
      <vt:lpstr>ETA-EER</vt:lpstr>
      <vt:lpstr>PESO FoFo</vt:lpstr>
      <vt:lpstr>CAPTAÇÃO!Area_de_impressao</vt:lpstr>
      <vt:lpstr>'CX AAB'!Area_de_impressao</vt:lpstr>
      <vt:lpstr>'ESC AAB'!Area_de_impressao</vt:lpstr>
      <vt:lpstr>'ESC ETA-DRE'!Area_de_impressao</vt:lpstr>
      <vt:lpstr>'ESC ETA-EER'!Area_de_impressao</vt:lpstr>
      <vt:lpstr>'ESC ETA-ESG'!Area_de_impressao</vt:lpstr>
      <vt:lpstr>'ESC ETA-INT'!Area_de_impressao</vt:lpstr>
      <vt:lpstr>'ETA-CABINE'!Area_de_impressao</vt:lpstr>
      <vt:lpstr>'ETA-CQ'!Area_de_impressao</vt:lpstr>
      <vt:lpstr>'ETA-EAT'!Area_de_impressao</vt:lpstr>
      <vt:lpstr>'ETA-EER'!Area_de_impressao</vt:lpstr>
      <vt:lpstr>'ETA-ELETRICA E CABINE'!Area_de_impressao</vt:lpstr>
      <vt:lpstr>'ETA-ELETRICA ETA PRE'!Area_de_impressao</vt:lpstr>
      <vt:lpstr>'ETA-UTR'!Area_de_impressao</vt:lpstr>
      <vt:lpstr>'PESO FoFo'!Area_de_impressao</vt:lpstr>
      <vt:lpstr>CAPTAÇÃO!Titulos_de_impressao</vt:lpstr>
      <vt:lpstr>'CX AAB'!Titulos_de_impressao</vt:lpstr>
      <vt:lpstr>'ESC AAB'!Titulos_de_impressao</vt:lpstr>
      <vt:lpstr>'ESC ETA-DRE'!Titulos_de_impressao</vt:lpstr>
      <vt:lpstr>'ESC ETA-EER'!Titulos_de_impressao</vt:lpstr>
      <vt:lpstr>'ESC ETA-ESG'!Titulos_de_impressao</vt:lpstr>
      <vt:lpstr>'ESC ETA-INT'!Titulos_de_impressao</vt:lpstr>
      <vt:lpstr>'ETA-CABINE'!Titulos_de_impressao</vt:lpstr>
      <vt:lpstr>'ETA-CQ'!Titulos_de_impressao</vt:lpstr>
      <vt:lpstr>'ETA-EAT'!Titulos_de_impressao</vt:lpstr>
      <vt:lpstr>'ETA-EER'!Titulos_de_impressao</vt:lpstr>
      <vt:lpstr>'ETA-ELETRICA E CABINE'!Titulos_de_impressao</vt:lpstr>
      <vt:lpstr>'ETA-ELETRICA ETA PRE'!Titulos_de_impressao</vt:lpstr>
      <vt:lpstr>'ETA-UTR'!Titulos_de_impressao</vt:lpstr>
      <vt:lpstr>'PESO FoFo'!Titulos_de_impressao</vt:lpstr>
    </vt:vector>
  </TitlesOfParts>
  <Company>Hewlett-Packard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ARH Engenharia</cp:lastModifiedBy>
  <cp:lastPrinted>2021-06-28T22:48:15Z</cp:lastPrinted>
  <dcterms:created xsi:type="dcterms:W3CDTF">2009-07-29T16:07:35Z</dcterms:created>
  <dcterms:modified xsi:type="dcterms:W3CDTF">2021-08-19T20:22:59Z</dcterms:modified>
</cp:coreProperties>
</file>