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0-CONSTRUÇÃO DE DIVERSAS PRAÇAS\01-CD LICITAÇÃO\03-DOC_PRAÇA ILHÉUS\"/>
    </mc:Choice>
  </mc:AlternateContent>
  <bookViews>
    <workbookView xWindow="0" yWindow="0" windowWidth="24000" windowHeight="9735" tabRatio="876" activeTab="7"/>
  </bookViews>
  <sheets>
    <sheet name="Planilha - ILHÉUS" sheetId="85" r:id="rId1"/>
    <sheet name="Cronograma - ILHÉUS" sheetId="86" r:id="rId2"/>
    <sheet name="MC - Ilhéus" sheetId="87" r:id="rId3"/>
    <sheet name="Mobilização - ILHÉUS" sheetId="88" r:id="rId4"/>
    <sheet name="CPU 01 - SERVIÇOS PRELIMINARES" sheetId="74" r:id="rId5"/>
    <sheet name="CPU 02" sheetId="70" r:id="rId6"/>
    <sheet name="BDI" sheetId="77" r:id="rId7"/>
    <sheet name="ENC SOCIAIS" sheetId="97" r:id="rId8"/>
  </sheets>
  <definedNames>
    <definedName name="AccessDatabase" hidden="1">"D:\Arquivos do excel\Planilha modelo1.mdb"</definedName>
    <definedName name="af" localSheetId="4">#REF!</definedName>
    <definedName name="af" localSheetId="1">#REF!</definedName>
    <definedName name="af" localSheetId="2">#REF!</definedName>
    <definedName name="af" localSheetId="3">#REF!</definedName>
    <definedName name="af" localSheetId="0">#REF!</definedName>
    <definedName name="af">#REF!</definedName>
    <definedName name="ag" localSheetId="4">#REF!</definedName>
    <definedName name="ag" localSheetId="1">#REF!</definedName>
    <definedName name="ag" localSheetId="2">#REF!</definedName>
    <definedName name="ag" localSheetId="3">#REF!</definedName>
    <definedName name="ag" localSheetId="0">#REF!</definedName>
    <definedName name="ag">#REF!</definedName>
    <definedName name="_xlnm.Print_Area" localSheetId="6">BDI!$B$2:$I$37</definedName>
    <definedName name="_xlnm.Print_Area" localSheetId="4">'CPU 01 - SERVIÇOS PRELIMINARES'!$A$1:$H$52</definedName>
    <definedName name="_xlnm.Print_Area" localSheetId="5">'CPU 02'!$A$1:$H$158</definedName>
    <definedName name="_xlnm.Print_Area" localSheetId="1">'Cronograma - ILHÉUS'!$A$1:$F$33</definedName>
    <definedName name="_xlnm.Print_Area" localSheetId="7">'ENC SOCIAIS'!$B$2:$G$52</definedName>
    <definedName name="_xlnm.Print_Area" localSheetId="2">'MC - Ilhéus'!$A$1:$E$69</definedName>
    <definedName name="_xlnm.Print_Area" localSheetId="0">'Planilha - ILHÉUS'!$A$1:$J$87</definedName>
    <definedName name="BALTO" localSheetId="4">#REF!</definedName>
    <definedName name="BALTO" localSheetId="1">#REF!</definedName>
    <definedName name="BALTO" localSheetId="2">#REF!</definedName>
    <definedName name="BALTO" localSheetId="3">#REF!</definedName>
    <definedName name="BALTO" localSheetId="0">#REF!</definedName>
    <definedName name="BALTO">#REF!</definedName>
    <definedName name="cho" localSheetId="4">#REF!</definedName>
    <definedName name="cho" localSheetId="1">#REF!</definedName>
    <definedName name="cho" localSheetId="2">#REF!</definedName>
    <definedName name="cho" localSheetId="3">#REF!</definedName>
    <definedName name="cho" localSheetId="0">#REF!</definedName>
    <definedName name="cho">#REF!</definedName>
    <definedName name="ci" localSheetId="4">#REF!</definedName>
    <definedName name="ci" localSheetId="1">#REF!</definedName>
    <definedName name="ci" localSheetId="2">#REF!</definedName>
    <definedName name="ci" localSheetId="3">#REF!</definedName>
    <definedName name="ci" localSheetId="0">#REF!</definedName>
    <definedName name="ci">#REF!</definedName>
    <definedName name="COD_ATRIUM" localSheetId="4">#REF!</definedName>
    <definedName name="COD_ATRIUM" localSheetId="1">#REF!</definedName>
    <definedName name="COD_ATRIUM" localSheetId="2">#REF!</definedName>
    <definedName name="COD_ATRIUM" localSheetId="3">#REF!</definedName>
    <definedName name="COD_ATRIUM" localSheetId="0">#REF!</definedName>
    <definedName name="COD_ATRIUM">#REF!</definedName>
    <definedName name="COD_SINAPI" localSheetId="4">#REF!</definedName>
    <definedName name="COD_SINAPI" localSheetId="1">#REF!</definedName>
    <definedName name="COD_SINAPI" localSheetId="2">#REF!</definedName>
    <definedName name="COD_SINAPI" localSheetId="3">#REF!</definedName>
    <definedName name="COD_SINAPI" localSheetId="0">#REF!</definedName>
    <definedName name="COD_SINAPI">#REF!</definedName>
    <definedName name="jazida5" localSheetId="4">#REF!</definedName>
    <definedName name="jazida5" localSheetId="1">#REF!</definedName>
    <definedName name="jazida5" localSheetId="2">#REF!</definedName>
    <definedName name="jazida5" localSheetId="3">#REF!</definedName>
    <definedName name="jazida5" localSheetId="0">#REF!</definedName>
    <definedName name="jazida5">#REF!</definedName>
    <definedName name="jazida6" localSheetId="4">#REF!</definedName>
    <definedName name="jazida6" localSheetId="1">#REF!</definedName>
    <definedName name="jazida6" localSheetId="2">#REF!</definedName>
    <definedName name="jazida6" localSheetId="3">#REF!</definedName>
    <definedName name="jazida6" localSheetId="0">#REF!</definedName>
    <definedName name="jazida6">#REF!</definedName>
    <definedName name="ls" localSheetId="4">#REF!</definedName>
    <definedName name="ls" localSheetId="1">#REF!</definedName>
    <definedName name="ls" localSheetId="2">#REF!</definedName>
    <definedName name="ls" localSheetId="3">#REF!</definedName>
    <definedName name="ls" localSheetId="0">#REF!</definedName>
    <definedName name="ls">#REF!</definedName>
    <definedName name="lub" localSheetId="4">#REF!</definedName>
    <definedName name="lub" localSheetId="1">#REF!</definedName>
    <definedName name="lub" localSheetId="2">#REF!</definedName>
    <definedName name="lub" localSheetId="3">#REF!</definedName>
    <definedName name="lub" localSheetId="0">#REF!</definedName>
    <definedName name="lub">#REF!</definedName>
    <definedName name="meio" localSheetId="4">#REF!</definedName>
    <definedName name="meio" localSheetId="1">#REF!</definedName>
    <definedName name="meio" localSheetId="2">#REF!</definedName>
    <definedName name="meio" localSheetId="3">#REF!</definedName>
    <definedName name="meio" localSheetId="0">#REF!</definedName>
    <definedName name="meio">#REF!</definedName>
    <definedName name="od" localSheetId="4">#REF!</definedName>
    <definedName name="od" localSheetId="1">#REF!</definedName>
    <definedName name="od" localSheetId="2">#REF!</definedName>
    <definedName name="od" localSheetId="3">#REF!</definedName>
    <definedName name="od" localSheetId="0">#REF!</definedName>
    <definedName name="od">#REF!</definedName>
    <definedName name="of" localSheetId="4">#REF!</definedName>
    <definedName name="of" localSheetId="1">#REF!</definedName>
    <definedName name="of" localSheetId="2">#REF!</definedName>
    <definedName name="of" localSheetId="3">#REF!</definedName>
    <definedName name="of" localSheetId="0">#REF!</definedName>
    <definedName name="of">#REF!</definedName>
    <definedName name="pdm" localSheetId="4">#REF!</definedName>
    <definedName name="pdm" localSheetId="1">#REF!</definedName>
    <definedName name="pdm" localSheetId="2">#REF!</definedName>
    <definedName name="pdm" localSheetId="3">#REF!</definedName>
    <definedName name="pdm" localSheetId="0">#REF!</definedName>
    <definedName name="pdm">#REF!</definedName>
    <definedName name="pedra" localSheetId="4">#REF!</definedName>
    <definedName name="pedra" localSheetId="1">#REF!</definedName>
    <definedName name="pedra" localSheetId="2">#REF!</definedName>
    <definedName name="pedra" localSheetId="3">#REF!</definedName>
    <definedName name="pedra" localSheetId="0">#REF!</definedName>
    <definedName name="pedra">#REF!</definedName>
    <definedName name="port" localSheetId="4">#REF!</definedName>
    <definedName name="port" localSheetId="1">#REF!</definedName>
    <definedName name="port" localSheetId="2">#REF!</definedName>
    <definedName name="port" localSheetId="3">#REF!</definedName>
    <definedName name="port" localSheetId="0">#REF!</definedName>
    <definedName name="port">#REF!</definedName>
    <definedName name="PREF" localSheetId="4">#REF!</definedName>
    <definedName name="PREF" localSheetId="1">#REF!</definedName>
    <definedName name="PREF" localSheetId="2">#REF!</definedName>
    <definedName name="PREF" localSheetId="3">#REF!</definedName>
    <definedName name="PREF" localSheetId="0">#REF!</definedName>
    <definedName name="PREF">#REF!</definedName>
    <definedName name="ruas" localSheetId="4">#REF!</definedName>
    <definedName name="ruas" localSheetId="1">#REF!</definedName>
    <definedName name="ruas" localSheetId="2">#REF!</definedName>
    <definedName name="ruas" localSheetId="3">#REF!</definedName>
    <definedName name="ruas" localSheetId="0">#REF!</definedName>
    <definedName name="ruas">#REF!</definedName>
    <definedName name="s" localSheetId="4">#REF!</definedName>
    <definedName name="s" localSheetId="1">#REF!</definedName>
    <definedName name="s" localSheetId="2">#REF!</definedName>
    <definedName name="s" localSheetId="3">#REF!</definedName>
    <definedName name="s" localSheetId="0">#REF!</definedName>
    <definedName name="s">#REF!</definedName>
    <definedName name="se" localSheetId="4">#REF!</definedName>
    <definedName name="se" localSheetId="1">#REF!</definedName>
    <definedName name="se" localSheetId="2">#REF!</definedName>
    <definedName name="se" localSheetId="3">#REF!</definedName>
    <definedName name="se" localSheetId="0">#REF!</definedName>
    <definedName name="se">#REF!</definedName>
    <definedName name="sx" localSheetId="4">#REF!</definedName>
    <definedName name="sx" localSheetId="1">#REF!</definedName>
    <definedName name="sx" localSheetId="2">#REF!</definedName>
    <definedName name="sx" localSheetId="3">#REF!</definedName>
    <definedName name="sx" localSheetId="0">#REF!</definedName>
    <definedName name="sx">#REF!</definedName>
    <definedName name="tb100cm" localSheetId="4">#REF!</definedName>
    <definedName name="tb100cm" localSheetId="1">#REF!</definedName>
    <definedName name="tb100cm" localSheetId="2">#REF!</definedName>
    <definedName name="tb100cm" localSheetId="3">#REF!</definedName>
    <definedName name="tb100cm" localSheetId="0">#REF!</definedName>
    <definedName name="tb100cm">#REF!</definedName>
    <definedName name="_xlnm.Print_Titles" localSheetId="0">'Planilha - ILHÉUS'!$4:$10</definedName>
    <definedName name="total" localSheetId="4">#REF!</definedName>
    <definedName name="total" localSheetId="1">#REF!</definedName>
    <definedName name="total" localSheetId="2">#REF!</definedName>
    <definedName name="total" localSheetId="3">#REF!</definedName>
    <definedName name="total" localSheetId="0">#REF!</definedName>
    <definedName name="total">#REF!</definedName>
  </definedNames>
  <calcPr calcId="152511" iterateDelta="1E-4"/>
</workbook>
</file>

<file path=xl/calcChain.xml><?xml version="1.0" encoding="utf-8"?>
<calcChain xmlns="http://schemas.openxmlformats.org/spreadsheetml/2006/main">
  <c r="E36" i="70" l="1"/>
  <c r="E47" i="70"/>
  <c r="E110" i="70"/>
  <c r="E121" i="70"/>
  <c r="E133" i="70"/>
  <c r="E144" i="70"/>
  <c r="A7" i="70"/>
  <c r="A7" i="74"/>
  <c r="A5" i="88"/>
  <c r="A4" i="87"/>
  <c r="A5" i="86"/>
  <c r="G10" i="70" l="1"/>
  <c r="G52" i="97" l="1"/>
  <c r="F52" i="97"/>
  <c r="E52" i="97"/>
  <c r="D52" i="97"/>
  <c r="G50" i="97"/>
  <c r="F50" i="97"/>
  <c r="E50" i="97"/>
  <c r="D50" i="97"/>
  <c r="G46" i="97"/>
  <c r="F46" i="97"/>
  <c r="E46" i="97"/>
  <c r="D46" i="97"/>
  <c r="G39" i="97"/>
  <c r="F39" i="97"/>
  <c r="E39" i="97"/>
  <c r="D39" i="97"/>
  <c r="G27" i="97"/>
  <c r="F27" i="97"/>
  <c r="E27" i="97"/>
  <c r="D27" i="97"/>
  <c r="D36" i="77"/>
  <c r="D29" i="77"/>
  <c r="I27" i="77"/>
  <c r="D26" i="77"/>
  <c r="D21" i="77"/>
  <c r="D17" i="77"/>
  <c r="E158" i="70"/>
  <c r="H154" i="70"/>
  <c r="H153" i="70"/>
  <c r="H152" i="70"/>
  <c r="H151" i="70"/>
  <c r="H150" i="70"/>
  <c r="H149" i="70"/>
  <c r="H148" i="70"/>
  <c r="H140" i="70"/>
  <c r="H139" i="70"/>
  <c r="H138" i="70"/>
  <c r="H137" i="70"/>
  <c r="H129" i="70"/>
  <c r="H128" i="70"/>
  <c r="H127" i="70"/>
  <c r="H126" i="70"/>
  <c r="H125" i="70"/>
  <c r="H117" i="70"/>
  <c r="L116" i="70"/>
  <c r="H116" i="70"/>
  <c r="H115" i="70"/>
  <c r="H114" i="70"/>
  <c r="H106" i="70"/>
  <c r="H105" i="70"/>
  <c r="H104" i="70"/>
  <c r="H103" i="70"/>
  <c r="H102" i="70"/>
  <c r="H101" i="70"/>
  <c r="H100" i="70"/>
  <c r="H99" i="70"/>
  <c r="E95" i="70"/>
  <c r="H91" i="70"/>
  <c r="H90" i="70"/>
  <c r="H89" i="70"/>
  <c r="H88" i="70"/>
  <c r="H87" i="70"/>
  <c r="H86" i="70"/>
  <c r="H85" i="70"/>
  <c r="H84" i="70"/>
  <c r="H83" i="70"/>
  <c r="H82" i="70"/>
  <c r="E78" i="70"/>
  <c r="H74" i="70"/>
  <c r="H73" i="70"/>
  <c r="F72" i="70"/>
  <c r="H72" i="70" s="1"/>
  <c r="H71" i="70"/>
  <c r="H70" i="70"/>
  <c r="H69" i="70"/>
  <c r="H68" i="70"/>
  <c r="H67" i="70"/>
  <c r="H66" i="70"/>
  <c r="E62" i="70"/>
  <c r="H58" i="70"/>
  <c r="H57" i="70"/>
  <c r="H56" i="70"/>
  <c r="H55" i="70"/>
  <c r="H54" i="70"/>
  <c r="H53" i="70"/>
  <c r="H52" i="70"/>
  <c r="H51" i="70"/>
  <c r="H43" i="70"/>
  <c r="H42" i="70"/>
  <c r="H41" i="70"/>
  <c r="H40" i="70"/>
  <c r="H32" i="70"/>
  <c r="H31" i="70"/>
  <c r="E27" i="70"/>
  <c r="H23" i="70"/>
  <c r="H22" i="70"/>
  <c r="H21" i="70"/>
  <c r="H20" i="70"/>
  <c r="H19" i="70"/>
  <c r="H18" i="70"/>
  <c r="H17" i="70"/>
  <c r="H16" i="70"/>
  <c r="G9" i="70"/>
  <c r="G108" i="70" s="1"/>
  <c r="H108" i="70" s="1"/>
  <c r="H49" i="74"/>
  <c r="H48" i="74"/>
  <c r="H47" i="74"/>
  <c r="H46" i="74"/>
  <c r="H45" i="74"/>
  <c r="H44" i="74"/>
  <c r="H38" i="74"/>
  <c r="H37" i="74"/>
  <c r="H36" i="74"/>
  <c r="H35" i="74"/>
  <c r="H34" i="74"/>
  <c r="H33" i="74"/>
  <c r="H32" i="74"/>
  <c r="H31" i="74"/>
  <c r="H30" i="74"/>
  <c r="H29" i="74"/>
  <c r="F24" i="74"/>
  <c r="H24" i="74" s="1"/>
  <c r="H23" i="74"/>
  <c r="H22" i="74"/>
  <c r="H15" i="74"/>
  <c r="H14" i="74"/>
  <c r="H10" i="74"/>
  <c r="H9" i="74"/>
  <c r="E26" i="74" s="1"/>
  <c r="F26" i="88"/>
  <c r="A26" i="88"/>
  <c r="H23" i="88"/>
  <c r="C16" i="88"/>
  <c r="C68" i="87"/>
  <c r="B68" i="87"/>
  <c r="A68" i="87"/>
  <c r="C67" i="87"/>
  <c r="B67" i="87"/>
  <c r="A67" i="87"/>
  <c r="C66" i="87"/>
  <c r="B66" i="87"/>
  <c r="A66" i="87"/>
  <c r="B65" i="87"/>
  <c r="A65" i="87"/>
  <c r="C63" i="87"/>
  <c r="B63" i="87"/>
  <c r="A63" i="87"/>
  <c r="C62" i="87"/>
  <c r="B62" i="87"/>
  <c r="A62" i="87"/>
  <c r="C61" i="87"/>
  <c r="B61" i="87"/>
  <c r="A61" i="87"/>
  <c r="C60" i="87"/>
  <c r="B60" i="87"/>
  <c r="A60" i="87"/>
  <c r="B59" i="87"/>
  <c r="A59" i="87"/>
  <c r="C58" i="87"/>
  <c r="B58" i="87"/>
  <c r="A58" i="87"/>
  <c r="B57" i="87"/>
  <c r="A57" i="87"/>
  <c r="B56" i="87"/>
  <c r="A56" i="87"/>
  <c r="C54" i="87"/>
  <c r="B54" i="87"/>
  <c r="A54" i="87"/>
  <c r="C53" i="87"/>
  <c r="B53" i="87"/>
  <c r="A53" i="87"/>
  <c r="E52" i="87"/>
  <c r="C52" i="87"/>
  <c r="B52" i="87"/>
  <c r="A52" i="87"/>
  <c r="E51" i="87"/>
  <c r="C51" i="87"/>
  <c r="B51" i="87"/>
  <c r="A51" i="87"/>
  <c r="E50" i="87"/>
  <c r="C50" i="87"/>
  <c r="B50" i="87"/>
  <c r="A50" i="87"/>
  <c r="E49" i="87"/>
  <c r="C49" i="87"/>
  <c r="B49" i="87"/>
  <c r="A49" i="87"/>
  <c r="H48" i="87"/>
  <c r="C48" i="87"/>
  <c r="B48" i="87"/>
  <c r="A48" i="87"/>
  <c r="H47" i="87"/>
  <c r="C47" i="87"/>
  <c r="B47" i="87"/>
  <c r="A47" i="87"/>
  <c r="H46" i="87"/>
  <c r="E46" i="87"/>
  <c r="C46" i="87"/>
  <c r="B46" i="87"/>
  <c r="A46" i="87"/>
  <c r="H45" i="87"/>
  <c r="E45" i="87"/>
  <c r="C45" i="87"/>
  <c r="B45" i="87"/>
  <c r="A45" i="87"/>
  <c r="E44" i="87"/>
  <c r="C44" i="87"/>
  <c r="B44" i="87"/>
  <c r="A44" i="87"/>
  <c r="C43" i="87"/>
  <c r="B43" i="87"/>
  <c r="A43" i="87"/>
  <c r="C42" i="87"/>
  <c r="B42" i="87"/>
  <c r="A42" i="87"/>
  <c r="J41" i="87"/>
  <c r="C41" i="87"/>
  <c r="B41" i="87"/>
  <c r="A41" i="87"/>
  <c r="E40" i="87"/>
  <c r="C40" i="87"/>
  <c r="B40" i="87"/>
  <c r="A40" i="87"/>
  <c r="E39" i="87"/>
  <c r="C39" i="87"/>
  <c r="B39" i="87"/>
  <c r="A39" i="87"/>
  <c r="K38" i="87"/>
  <c r="E38" i="87"/>
  <c r="C38" i="87"/>
  <c r="B38" i="87"/>
  <c r="A38" i="87"/>
  <c r="B37" i="87"/>
  <c r="A37" i="87"/>
  <c r="C35" i="87"/>
  <c r="B35" i="87"/>
  <c r="A35" i="87"/>
  <c r="E34" i="87"/>
  <c r="C34" i="87"/>
  <c r="B34" i="87"/>
  <c r="A34" i="87"/>
  <c r="H33" i="87"/>
  <c r="B33" i="87"/>
  <c r="A33" i="87"/>
  <c r="P32" i="87"/>
  <c r="L32" i="87"/>
  <c r="H32" i="87"/>
  <c r="H31" i="87"/>
  <c r="C31" i="87"/>
  <c r="B31" i="87"/>
  <c r="A31" i="87"/>
  <c r="H30" i="87"/>
  <c r="C30" i="87"/>
  <c r="B30" i="87"/>
  <c r="A30" i="87"/>
  <c r="C29" i="87"/>
  <c r="B29" i="87"/>
  <c r="A29" i="87"/>
  <c r="E28" i="87"/>
  <c r="C28" i="87"/>
  <c r="B28" i="87"/>
  <c r="A28" i="87"/>
  <c r="I27" i="87"/>
  <c r="E27" i="87"/>
  <c r="C27" i="87"/>
  <c r="B27" i="87"/>
  <c r="A27" i="87"/>
  <c r="M26" i="87"/>
  <c r="C26" i="87"/>
  <c r="B26" i="87"/>
  <c r="A26" i="87"/>
  <c r="M25" i="87"/>
  <c r="B25" i="87"/>
  <c r="A25" i="87"/>
  <c r="F24" i="87"/>
  <c r="C24" i="87"/>
  <c r="B24" i="87"/>
  <c r="A24" i="87"/>
  <c r="O23" i="87"/>
  <c r="C23" i="87"/>
  <c r="B23" i="87"/>
  <c r="A23" i="87"/>
  <c r="E22" i="87"/>
  <c r="C22" i="87"/>
  <c r="B22" i="87"/>
  <c r="A22" i="87"/>
  <c r="E21" i="87"/>
  <c r="C21" i="87"/>
  <c r="B21" i="87"/>
  <c r="A21" i="87"/>
  <c r="E20" i="87"/>
  <c r="C20" i="87"/>
  <c r="B20" i="87"/>
  <c r="A20" i="87"/>
  <c r="E19" i="87"/>
  <c r="C19" i="87"/>
  <c r="B19" i="87"/>
  <c r="A19" i="87"/>
  <c r="J18" i="87"/>
  <c r="E18" i="87"/>
  <c r="C18" i="87"/>
  <c r="B18" i="87"/>
  <c r="A18" i="87"/>
  <c r="J17" i="87"/>
  <c r="E17" i="87"/>
  <c r="C17" i="87"/>
  <c r="B17" i="87"/>
  <c r="A17" i="87"/>
  <c r="J16" i="87"/>
  <c r="E16" i="87"/>
  <c r="C16" i="87"/>
  <c r="B16" i="87"/>
  <c r="A16" i="87"/>
  <c r="E15" i="87"/>
  <c r="C15" i="87"/>
  <c r="B15" i="87"/>
  <c r="A15" i="87"/>
  <c r="B14" i="87"/>
  <c r="A14" i="87"/>
  <c r="B13" i="87"/>
  <c r="A13" i="87"/>
  <c r="E11" i="87"/>
  <c r="C11" i="87"/>
  <c r="B11" i="87"/>
  <c r="A11" i="87"/>
  <c r="C10" i="87"/>
  <c r="B10" i="87"/>
  <c r="A10" i="87"/>
  <c r="E9" i="87"/>
  <c r="C9" i="87"/>
  <c r="B9" i="87"/>
  <c r="A9" i="87"/>
  <c r="H8" i="87"/>
  <c r="B8" i="87"/>
  <c r="A8" i="87"/>
  <c r="H6" i="87"/>
  <c r="B27" i="86"/>
  <c r="A27" i="86"/>
  <c r="B25" i="86"/>
  <c r="A25" i="86"/>
  <c r="B23" i="86"/>
  <c r="A23" i="86"/>
  <c r="B21" i="86"/>
  <c r="A21" i="86"/>
  <c r="B19" i="86"/>
  <c r="A19" i="86"/>
  <c r="B17" i="86"/>
  <c r="A17" i="86"/>
  <c r="B15" i="86"/>
  <c r="A15" i="86"/>
  <c r="B13" i="86"/>
  <c r="A13" i="86"/>
  <c r="B11" i="86"/>
  <c r="A11" i="86"/>
  <c r="H84" i="85"/>
  <c r="F84" i="85"/>
  <c r="I84" i="85" s="1"/>
  <c r="J84" i="85" s="1"/>
  <c r="F83" i="85"/>
  <c r="F82" i="85"/>
  <c r="F78" i="85"/>
  <c r="H77" i="85"/>
  <c r="I77" i="85" s="1"/>
  <c r="J77" i="85" s="1"/>
  <c r="F77" i="85"/>
  <c r="H76" i="85"/>
  <c r="F76" i="85"/>
  <c r="I76" i="85" s="1"/>
  <c r="J76" i="85" s="1"/>
  <c r="F75" i="85"/>
  <c r="F72" i="85"/>
  <c r="F68" i="85"/>
  <c r="H67" i="85"/>
  <c r="I67" i="85" s="1"/>
  <c r="J67" i="85" s="1"/>
  <c r="F67" i="85"/>
  <c r="H66" i="85"/>
  <c r="F66" i="85"/>
  <c r="I66" i="85" s="1"/>
  <c r="J66" i="85" s="1"/>
  <c r="F65" i="85"/>
  <c r="H64" i="85"/>
  <c r="I64" i="85" s="1"/>
  <c r="J64" i="85" s="1"/>
  <c r="F64" i="85"/>
  <c r="H63" i="85"/>
  <c r="F63" i="85"/>
  <c r="I63" i="85" s="1"/>
  <c r="J63" i="85" s="1"/>
  <c r="F62" i="85"/>
  <c r="F61" i="85"/>
  <c r="H60" i="85"/>
  <c r="I60" i="85" s="1"/>
  <c r="J60" i="85" s="1"/>
  <c r="F60" i="85"/>
  <c r="H59" i="85"/>
  <c r="F59" i="85"/>
  <c r="I59" i="85" s="1"/>
  <c r="J59" i="85" s="1"/>
  <c r="F58" i="85"/>
  <c r="H57" i="85"/>
  <c r="I57" i="85" s="1"/>
  <c r="J57" i="85" s="1"/>
  <c r="F57" i="85"/>
  <c r="H56" i="85"/>
  <c r="F56" i="85"/>
  <c r="I56" i="85" s="1"/>
  <c r="J56" i="85" s="1"/>
  <c r="F55" i="85"/>
  <c r="H54" i="85"/>
  <c r="I54" i="85" s="1"/>
  <c r="J54" i="85" s="1"/>
  <c r="F54" i="85"/>
  <c r="H53" i="85"/>
  <c r="F53" i="85"/>
  <c r="I53" i="85" s="1"/>
  <c r="J53" i="85" s="1"/>
  <c r="F52" i="85"/>
  <c r="F49" i="85"/>
  <c r="F48" i="85"/>
  <c r="H44" i="85"/>
  <c r="F44" i="85"/>
  <c r="I44" i="85" s="1"/>
  <c r="J44" i="85" s="1"/>
  <c r="F43" i="85"/>
  <c r="F42" i="85"/>
  <c r="F41" i="85"/>
  <c r="H40" i="85"/>
  <c r="F40" i="85"/>
  <c r="I40" i="85" s="1"/>
  <c r="J40" i="85" s="1"/>
  <c r="F39" i="85"/>
  <c r="F36" i="85"/>
  <c r="F35" i="85"/>
  <c r="F34" i="85"/>
  <c r="F33" i="85"/>
  <c r="F32" i="85"/>
  <c r="F31" i="85"/>
  <c r="H30" i="85"/>
  <c r="I30" i="85" s="1"/>
  <c r="J30" i="85" s="1"/>
  <c r="F30" i="85"/>
  <c r="L29" i="85"/>
  <c r="H29" i="85"/>
  <c r="F29" i="85"/>
  <c r="I29" i="85" s="1"/>
  <c r="J29" i="85" s="1"/>
  <c r="H28" i="85"/>
  <c r="F28" i="85"/>
  <c r="I28" i="85" s="1"/>
  <c r="J28" i="85" s="1"/>
  <c r="F27" i="85"/>
  <c r="F23" i="85"/>
  <c r="F22" i="85"/>
  <c r="F21" i="85"/>
  <c r="F17" i="85"/>
  <c r="H13" i="85"/>
  <c r="I13" i="85" s="1"/>
  <c r="J13" i="85" s="1"/>
  <c r="G7" i="85"/>
  <c r="D7" i="85"/>
  <c r="H72" i="85" s="1"/>
  <c r="H44" i="70" l="1"/>
  <c r="H92" i="70"/>
  <c r="G62" i="85" s="1"/>
  <c r="H62" i="85" s="1"/>
  <c r="I62" i="85" s="1"/>
  <c r="J62" i="85" s="1"/>
  <c r="H141" i="70"/>
  <c r="G49" i="85" s="1"/>
  <c r="H49" i="85" s="1"/>
  <c r="I49" i="85" s="1"/>
  <c r="J49" i="85" s="1"/>
  <c r="H155" i="70"/>
  <c r="H33" i="70"/>
  <c r="H59" i="70"/>
  <c r="H118" i="70"/>
  <c r="H24" i="70"/>
  <c r="H107" i="70"/>
  <c r="G82" i="85" s="1"/>
  <c r="H82" i="85" s="1"/>
  <c r="I82" i="85" s="1"/>
  <c r="H130" i="70"/>
  <c r="H132" i="70" s="1"/>
  <c r="H133" i="70" s="1"/>
  <c r="G33" i="85"/>
  <c r="H33" i="85" s="1"/>
  <c r="I33" i="85" s="1"/>
  <c r="J33" i="85" s="1"/>
  <c r="H61" i="70"/>
  <c r="H62" i="70" s="1"/>
  <c r="G34" i="85"/>
  <c r="H34" i="85" s="1"/>
  <c r="I34" i="85" s="1"/>
  <c r="J34" i="85" s="1"/>
  <c r="G35" i="85"/>
  <c r="H35" i="85" s="1"/>
  <c r="I35" i="85" s="1"/>
  <c r="J35" i="85" s="1"/>
  <c r="H75" i="70"/>
  <c r="G93" i="70"/>
  <c r="H93" i="70" s="1"/>
  <c r="G45" i="70"/>
  <c r="H45" i="70" s="1"/>
  <c r="G60" i="70"/>
  <c r="H60" i="70" s="1"/>
  <c r="G131" i="70"/>
  <c r="H131" i="70" s="1"/>
  <c r="G76" i="70"/>
  <c r="H76" i="70" s="1"/>
  <c r="G34" i="70"/>
  <c r="H34" i="70" s="1"/>
  <c r="G119" i="70"/>
  <c r="H119" i="70" s="1"/>
  <c r="G156" i="70"/>
  <c r="H156" i="70" s="1"/>
  <c r="G142" i="70"/>
  <c r="H142" i="70" s="1"/>
  <c r="G25" i="70"/>
  <c r="H25" i="70" s="1"/>
  <c r="H50" i="74"/>
  <c r="H16" i="74"/>
  <c r="E17" i="74"/>
  <c r="H25" i="74"/>
  <c r="G16" i="85" s="1"/>
  <c r="H16" i="85" s="1"/>
  <c r="I16" i="85" s="1"/>
  <c r="H39" i="74"/>
  <c r="E51" i="74"/>
  <c r="H51" i="74"/>
  <c r="H52" i="74" s="1"/>
  <c r="H18" i="85" s="1"/>
  <c r="E40" i="74"/>
  <c r="I22" i="85"/>
  <c r="J22" i="85" s="1"/>
  <c r="I31" i="85"/>
  <c r="J31" i="85" s="1"/>
  <c r="I72" i="85"/>
  <c r="H21" i="85"/>
  <c r="I21" i="85" s="1"/>
  <c r="H22" i="85"/>
  <c r="H39" i="85"/>
  <c r="I39" i="85" s="1"/>
  <c r="H65" i="85"/>
  <c r="I65" i="85" s="1"/>
  <c r="J65" i="85" s="1"/>
  <c r="H68" i="85"/>
  <c r="I68" i="85" s="1"/>
  <c r="J68" i="85" s="1"/>
  <c r="H75" i="85"/>
  <c r="I75" i="85" s="1"/>
  <c r="H78" i="85"/>
  <c r="I78" i="85" s="1"/>
  <c r="J78" i="85" s="1"/>
  <c r="H14" i="85"/>
  <c r="I14" i="85" s="1"/>
  <c r="J14" i="85" s="1"/>
  <c r="H27" i="85"/>
  <c r="I27" i="85" s="1"/>
  <c r="H83" i="85"/>
  <c r="I83" i="85" s="1"/>
  <c r="J83" i="85" s="1"/>
  <c r="H31" i="85"/>
  <c r="H36" i="85"/>
  <c r="I36" i="85" s="1"/>
  <c r="J36" i="85" s="1"/>
  <c r="H43" i="85"/>
  <c r="I43" i="85" s="1"/>
  <c r="J43" i="85" s="1"/>
  <c r="H52" i="85"/>
  <c r="I52" i="85" s="1"/>
  <c r="H55" i="85"/>
  <c r="I55" i="85" s="1"/>
  <c r="J55" i="85" s="1"/>
  <c r="H58" i="85"/>
  <c r="I58" i="85" s="1"/>
  <c r="J58" i="85" s="1"/>
  <c r="H26" i="70" l="1"/>
  <c r="H27" i="70" s="1"/>
  <c r="H120" i="70"/>
  <c r="H121" i="70" s="1"/>
  <c r="H35" i="70"/>
  <c r="H36" i="70" s="1"/>
  <c r="H157" i="70"/>
  <c r="H158" i="70" s="1"/>
  <c r="H46" i="70"/>
  <c r="H143" i="70"/>
  <c r="H144" i="70" s="1"/>
  <c r="G23" i="85"/>
  <c r="H23" i="85" s="1"/>
  <c r="I23" i="85" s="1"/>
  <c r="J23" i="85" s="1"/>
  <c r="H94" i="70"/>
  <c r="H95" i="70" s="1"/>
  <c r="G42" i="85"/>
  <c r="H42" i="85" s="1"/>
  <c r="I42" i="85" s="1"/>
  <c r="J42" i="85" s="1"/>
  <c r="G48" i="85"/>
  <c r="H48" i="85" s="1"/>
  <c r="I48" i="85" s="1"/>
  <c r="G32" i="85"/>
  <c r="H32" i="85" s="1"/>
  <c r="I32" i="85" s="1"/>
  <c r="J32" i="85" s="1"/>
  <c r="J82" i="85"/>
  <c r="J85" i="85" s="1"/>
  <c r="C27" i="86" s="1"/>
  <c r="F27" i="86" s="1"/>
  <c r="F28" i="86" s="1"/>
  <c r="I85" i="85"/>
  <c r="H109" i="70"/>
  <c r="H110" i="70" s="1"/>
  <c r="H77" i="70"/>
  <c r="H78" i="70" s="1"/>
  <c r="G61" i="85"/>
  <c r="H61" i="85" s="1"/>
  <c r="I61" i="85" s="1"/>
  <c r="J61" i="85" s="1"/>
  <c r="H17" i="74"/>
  <c r="H18" i="74" s="1"/>
  <c r="H19" i="74" s="1"/>
  <c r="H20" i="74" s="1"/>
  <c r="H12" i="85" s="1"/>
  <c r="I12" i="85" s="1"/>
  <c r="L16" i="85"/>
  <c r="J16" i="85"/>
  <c r="G15" i="85"/>
  <c r="H15" i="85" s="1"/>
  <c r="I15" i="85" s="1"/>
  <c r="H26" i="74"/>
  <c r="H27" i="74" s="1"/>
  <c r="H40" i="74"/>
  <c r="H41" i="74" s="1"/>
  <c r="H17" i="85" s="1"/>
  <c r="G17" i="85" s="1"/>
  <c r="I18" i="85"/>
  <c r="G18" i="85"/>
  <c r="J39" i="85"/>
  <c r="J52" i="85"/>
  <c r="J75" i="85"/>
  <c r="J79" i="85" s="1"/>
  <c r="I79" i="85"/>
  <c r="J21" i="85"/>
  <c r="J72" i="85"/>
  <c r="J73" i="85" s="1"/>
  <c r="I73" i="85"/>
  <c r="J27" i="85"/>
  <c r="G41" i="85" l="1"/>
  <c r="H41" i="85" s="1"/>
  <c r="I41" i="85" s="1"/>
  <c r="J41" i="85" s="1"/>
  <c r="J45" i="85" s="1"/>
  <c r="C19" i="86" s="1"/>
  <c r="E19" i="86" s="1"/>
  <c r="H47" i="70"/>
  <c r="J24" i="85"/>
  <c r="C13" i="86" s="1"/>
  <c r="F14" i="86" s="1"/>
  <c r="I24" i="85"/>
  <c r="I37" i="85"/>
  <c r="J37" i="85"/>
  <c r="C17" i="86" s="1"/>
  <c r="J48" i="85"/>
  <c r="J50" i="85" s="1"/>
  <c r="C21" i="86" s="1"/>
  <c r="F21" i="86" s="1"/>
  <c r="F22" i="86" s="1"/>
  <c r="I50" i="85"/>
  <c r="D27" i="86"/>
  <c r="E27" i="86"/>
  <c r="E28" i="86" s="1"/>
  <c r="I69" i="85"/>
  <c r="J69" i="85"/>
  <c r="C23" i="86" s="1"/>
  <c r="D23" i="86" s="1"/>
  <c r="G12" i="85"/>
  <c r="I17" i="85"/>
  <c r="D11" i="86" s="1"/>
  <c r="L15" i="85"/>
  <c r="J15" i="85"/>
  <c r="L18" i="85"/>
  <c r="J18" i="85"/>
  <c r="E11" i="86"/>
  <c r="L12" i="85"/>
  <c r="J12" i="85"/>
  <c r="M12" i="85"/>
  <c r="M19" i="85" s="1"/>
  <c r="N12" i="85"/>
  <c r="N19" i="85" s="1"/>
  <c r="E14" i="86"/>
  <c r="I80" i="85"/>
  <c r="J80" i="85"/>
  <c r="C25" i="86" s="1"/>
  <c r="I45" i="85" l="1"/>
  <c r="I46" i="85" s="1"/>
  <c r="E23" i="86"/>
  <c r="E24" i="86" s="1"/>
  <c r="D13" i="86"/>
  <c r="D14" i="86" s="1"/>
  <c r="F23" i="86"/>
  <c r="F24" i="86" s="1"/>
  <c r="D19" i="86"/>
  <c r="F19" i="86"/>
  <c r="F20" i="86" s="1"/>
  <c r="J46" i="85"/>
  <c r="C15" i="86" s="1"/>
  <c r="D21" i="86"/>
  <c r="G27" i="86"/>
  <c r="D28" i="86"/>
  <c r="L17" i="85"/>
  <c r="L19" i="85" s="1"/>
  <c r="L25" i="85" s="1"/>
  <c r="I19" i="85"/>
  <c r="K10" i="85" s="1"/>
  <c r="J17" i="85"/>
  <c r="J19" i="85"/>
  <c r="C11" i="86" s="1"/>
  <c r="E25" i="86"/>
  <c r="E26" i="86" s="1"/>
  <c r="F25" i="86"/>
  <c r="F26" i="86" s="1"/>
  <c r="D25" i="86"/>
  <c r="D24" i="86"/>
  <c r="E15" i="86"/>
  <c r="E20" i="86"/>
  <c r="E18" i="86"/>
  <c r="D17" i="86"/>
  <c r="F17" i="86" s="1"/>
  <c r="G13" i="86" l="1"/>
  <c r="G19" i="86"/>
  <c r="C29" i="86"/>
  <c r="D20" i="86"/>
  <c r="G23" i="86"/>
  <c r="E21" i="86"/>
  <c r="E22" i="86" s="1"/>
  <c r="D22" i="86"/>
  <c r="D12" i="86"/>
  <c r="E12" i="86"/>
  <c r="M25" i="85"/>
  <c r="F11" i="86"/>
  <c r="N25" i="85"/>
  <c r="J87" i="85"/>
  <c r="J20" i="74" s="1"/>
  <c r="I87" i="85"/>
  <c r="K12" i="85" s="1"/>
  <c r="F15" i="86"/>
  <c r="F16" i="86" s="1"/>
  <c r="F18" i="86"/>
  <c r="G17" i="86"/>
  <c r="D15" i="86"/>
  <c r="D18" i="86"/>
  <c r="D26" i="86"/>
  <c r="G25" i="86"/>
  <c r="E16" i="86"/>
  <c r="G21" i="86" l="1"/>
  <c r="E29" i="86"/>
  <c r="E31" i="86" s="1"/>
  <c r="F29" i="86"/>
  <c r="F31" i="86" s="1"/>
  <c r="F12" i="86"/>
  <c r="G11" i="86"/>
  <c r="D16" i="86"/>
  <c r="G15" i="86"/>
  <c r="D29" i="86"/>
  <c r="D32" i="86" l="1"/>
  <c r="E32" i="86" s="1"/>
  <c r="F32" i="86" s="1"/>
  <c r="G29" i="86"/>
  <c r="D31" i="86"/>
  <c r="D33" i="86" l="1"/>
  <c r="E33" i="86" s="1"/>
  <c r="F33" i="86" s="1"/>
  <c r="G31" i="86"/>
</calcChain>
</file>

<file path=xl/sharedStrings.xml><?xml version="1.0" encoding="utf-8"?>
<sst xmlns="http://schemas.openxmlformats.org/spreadsheetml/2006/main" count="1105" uniqueCount="510">
  <si>
    <t xml:space="preserve">                                                    MINISTÉRIO DO DESENVOLVIMENTO REGIONAL</t>
  </si>
  <si>
    <t xml:space="preserve">        MINISTÉRIO DO DESENVOLVIMENTO REGIONAL</t>
  </si>
  <si>
    <t>% DE RESERVA DE CONTINGÊNCIA (TAXA DE RISCO DA MATRIZ)</t>
  </si>
  <si>
    <t xml:space="preserve">        COMPANHIA DE DESENVOLVIMENTO DOS VALES DO SÃO FRANCISCO E DO PARNAÍBA</t>
  </si>
  <si>
    <t xml:space="preserve">        2.ª GRD da 2ª SUPERINTENDÊNCIA REGIONAL- Bom Jesus da Lapa/Ba.</t>
  </si>
  <si>
    <t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t>
  </si>
  <si>
    <t xml:space="preserve">BDI SERVIÇOS:                                               </t>
  </si>
  <si>
    <t xml:space="preserve">ENCARGOS SOCIAIS: </t>
  </si>
  <si>
    <t>BASE:</t>
  </si>
  <si>
    <t>SINAPI: OUTUBRO/2021; ORSE: SETEMBRO/2021; SICRO: JULHO/2021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</si>
  <si>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</si>
  <si>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</si>
  <si>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</si>
  <si>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</si>
  <si>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</si>
  <si>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</si>
  <si>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</si>
  <si>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PREÇO UNITÁRIO (COM BDI) (R$)</t>
  </si>
  <si>
    <t>TOTAL</t>
  </si>
  <si>
    <t>TOTAL C/ BDI E COM TAXA RISCO DA MATRIZ (R$)</t>
  </si>
  <si>
    <t>SERVIÇOS PRELIMINARES</t>
  </si>
  <si>
    <t>1.1</t>
  </si>
  <si>
    <t>CODEVASF</t>
  </si>
  <si>
    <t>Administração local e Manutenção do Canteiro.</t>
  </si>
  <si>
    <t>global</t>
  </si>
  <si>
    <t>1.2</t>
  </si>
  <si>
    <t>SINAPI</t>
  </si>
  <si>
    <t>Locação de container - escritório com banheiro</t>
  </si>
  <si>
    <t>mês</t>
  </si>
  <si>
    <t>1.3</t>
  </si>
  <si>
    <t>ORSE</t>
  </si>
  <si>
    <t>Aluguel de container - almoxarifado sem banheiro - 6,00 x 2,40m</t>
  </si>
  <si>
    <t>1.4</t>
  </si>
  <si>
    <t>und</t>
  </si>
  <si>
    <t>1.5</t>
  </si>
  <si>
    <t>1.6</t>
  </si>
  <si>
    <t>CPU-03</t>
  </si>
  <si>
    <t>Placa de obra em chapa de aço galvanizada (3,60 X 1,80m).</t>
  </si>
  <si>
    <t>m²</t>
  </si>
  <si>
    <t>1.7</t>
  </si>
  <si>
    <t>CPU-04</t>
  </si>
  <si>
    <t>Serviços topográficos</t>
  </si>
  <si>
    <t>TOTAL DO ITEM 1</t>
  </si>
  <si>
    <t>2.1</t>
  </si>
  <si>
    <t>M2</t>
  </si>
  <si>
    <t>2.2</t>
  </si>
  <si>
    <t>CPU-23</t>
  </si>
  <si>
    <t>regularização e compactação de subleito de solo predominantemente argiloso</t>
  </si>
  <si>
    <t>TOTAL DO ITEM 2</t>
  </si>
  <si>
    <t xml:space="preserve"> PAVIMENTAÇÃO E GUIAS</t>
  </si>
  <si>
    <t>3.1</t>
  </si>
  <si>
    <t>3.1.1</t>
  </si>
  <si>
    <t>m³</t>
  </si>
  <si>
    <t>3.1.2</t>
  </si>
  <si>
    <t>m</t>
  </si>
  <si>
    <t>3.1.3</t>
  </si>
  <si>
    <t>3.1.4</t>
  </si>
  <si>
    <t>Reaterro manual apiloado com soquete</t>
  </si>
  <si>
    <t>3.1.5</t>
  </si>
  <si>
    <t>3.1.6</t>
  </si>
  <si>
    <t>3.1.7</t>
  </si>
  <si>
    <t>3.1.8</t>
  </si>
  <si>
    <t>3.1.9</t>
  </si>
  <si>
    <t>SICRO</t>
  </si>
  <si>
    <t>3.1.10</t>
  </si>
  <si>
    <t>TOTAL DO SUB-ITEM 3.1</t>
  </si>
  <si>
    <t>3.2</t>
  </si>
  <si>
    <t>Intertravado</t>
  </si>
  <si>
    <t>3.2.1</t>
  </si>
  <si>
    <t>escavação manual de vala com profundidade menor ou igual a 1,30 m c 02/2021</t>
  </si>
  <si>
    <t>3.2.2</t>
  </si>
  <si>
    <t>Lastro de concreto magro, aplicado em pisos, lajes sobre solo ou radier, espessura de 3 cm.</t>
  </si>
  <si>
    <t>3.2.3</t>
  </si>
  <si>
    <t>3.2.4</t>
  </si>
  <si>
    <t>3.2.5</t>
  </si>
  <si>
    <t>3.2.6</t>
  </si>
  <si>
    <t>CPU-06</t>
  </si>
  <si>
    <t>TOTAL DO SUB-ITEM 3.2</t>
  </si>
  <si>
    <t>TOTAL DO ITEM 3</t>
  </si>
  <si>
    <t>INSTALAÇAÕ DE PARQUE INFANTIL</t>
  </si>
  <si>
    <t>4.1</t>
  </si>
  <si>
    <t>4.2</t>
  </si>
  <si>
    <t>CPU-19</t>
  </si>
  <si>
    <t>Parque infantil - fornecimento e montagem</t>
  </si>
  <si>
    <t>un</t>
  </si>
  <si>
    <t>TOTAL DO ITEM 4</t>
  </si>
  <si>
    <t>5.1</t>
  </si>
  <si>
    <t>M³</t>
  </si>
  <si>
    <t>5.2</t>
  </si>
  <si>
    <t xml:space="preserve">Colchão de areia, espessura de 5 cm </t>
  </si>
  <si>
    <t>5.3</t>
  </si>
  <si>
    <t>Reaterro mecanizado de vala com retroescavadeira (capacidade da caçamba da retro: 0,26 m³ / potência: 88 hp), largura até 0,8 m, profundidade até 1,5 m, com solo de 1ª categoria em locais com baixo nível de interferência. af_04/2016</t>
  </si>
  <si>
    <t>5.4</t>
  </si>
  <si>
    <t>5.5</t>
  </si>
  <si>
    <t>disjuntor tripolar tipo din, corrente nominal de 10a - fornecimento e instalação</t>
  </si>
  <si>
    <t>5.6</t>
  </si>
  <si>
    <t>eletroduto pvc rígido roscável diâmetro 1 1/4"</t>
  </si>
  <si>
    <t>5.7</t>
  </si>
  <si>
    <t>eletroduto pvc rígido roscável diâmetro 3/4"</t>
  </si>
  <si>
    <t>5.8</t>
  </si>
  <si>
    <t>Caixa de passagem em alvenaria de tijolos maciços esp. = 0,12 m, dim. Int. = 0,4 x 0,4 x 0,4 m</t>
  </si>
  <si>
    <t xml:space="preserve"> UND </t>
  </si>
  <si>
    <t>5.9</t>
  </si>
  <si>
    <t xml:space="preserve">Tampa de concreto para caixas de passagem 0,4 x 0,4 x 0,07 m </t>
  </si>
  <si>
    <t>5.10</t>
  </si>
  <si>
    <t>5.11</t>
  </si>
  <si>
    <t>cabo de cobre flexível isolado, 2,5 mm², anti-chama 450/750 v, para circuitos terminais - fornecimento e instalação. af_12/2015</t>
  </si>
  <si>
    <t>M</t>
  </si>
  <si>
    <t>5.12</t>
  </si>
  <si>
    <t>cabo de cobre flexível isolado, 10 mm², anti-chama 450/750 v, para circuitos terminais - fornecimento e instalação. af_12/2015</t>
  </si>
  <si>
    <t>5.13</t>
  </si>
  <si>
    <t>haste de terra em cobre tipo copperweld ø 5/8"x3,00m</t>
  </si>
  <si>
    <t>PÇ</t>
  </si>
  <si>
    <t>5.14</t>
  </si>
  <si>
    <t>grampo de aterramento split-bolt, para cabo de # 10,0mm²</t>
  </si>
  <si>
    <t>5.15</t>
  </si>
  <si>
    <t>5.16</t>
  </si>
  <si>
    <t>quadro de distribuição de energia em chapa de aço galvanizado, de embutir, com barramento trifásico, para 12 disjuntores din 100a - fornecimento e instalação.</t>
  </si>
  <si>
    <t>5.17</t>
  </si>
  <si>
    <t>quadro de medição de energia c padrão "coelba"</t>
  </si>
  <si>
    <t>TOTAL DO ITEM 5</t>
  </si>
  <si>
    <t>DIVERSOS</t>
  </si>
  <si>
    <t>6.1</t>
  </si>
  <si>
    <t>CPU-16</t>
  </si>
  <si>
    <t>Banco com pés em concreto pré-moldado e assento e encosto de madeira</t>
  </si>
  <si>
    <t>6.2</t>
  </si>
  <si>
    <t>Grama esmeralda em mudas, fornecimento e plantio</t>
  </si>
  <si>
    <t>Limpeza de ruas (varrição e remoção de entulhos)</t>
  </si>
  <si>
    <t>TOTAL DO ITEM 6</t>
  </si>
  <si>
    <t>TOTAL GERAL (R$)</t>
  </si>
  <si>
    <t>TERRAPLENAGEM</t>
  </si>
  <si>
    <t>Assentamento de guia (meio-fio) em trecho curvo, confeccionada em concreto pré-fabricado, dimensões 80x08x08x25 cm (comprimento x base inferior x base superior x altura), para urbanização.</t>
  </si>
  <si>
    <t>Execução de passeio em piso intertravado, com bloco retangular colorido (vermelho) de 20 x 10  cm, espessura de 6 cm.</t>
  </si>
  <si>
    <t>CPU-11</t>
  </si>
  <si>
    <t>Execução de passeio em piso intertravado, com bloco retangular cor natural de 20 x 10  cm, espessura de 6 cm.</t>
  </si>
  <si>
    <t>Acessibilidade</t>
  </si>
  <si>
    <t>Piso tátil direcional e/ou de alerta, de concreto, colorido, para deficientes visuais, dimensões 25 x 25 cm, aplicado com argamassa industrializada ac-II, rejuntado, exclusive regularização de base</t>
  </si>
  <si>
    <t>CPU-10</t>
  </si>
  <si>
    <t>Execução de rampa de acesso à calçada</t>
  </si>
  <si>
    <t>INSTALAÇÕES ELÉTRICAS (Praça)</t>
  </si>
  <si>
    <t>CPU-12</t>
  </si>
  <si>
    <t>JARDINAGEM</t>
  </si>
  <si>
    <t>Paisagismo</t>
  </si>
  <si>
    <t>CPU-09</t>
  </si>
  <si>
    <t>pó de brita</t>
  </si>
  <si>
    <t>TOTAL DO SUB-ITEM 5.1</t>
  </si>
  <si>
    <t>Banco de alvenaria</t>
  </si>
  <si>
    <t>5.2.1</t>
  </si>
  <si>
    <t>Alvenaria de vedação de blocos cerâmicos furados na vertical de 14x19x39cm (espessura 14cm)</t>
  </si>
  <si>
    <t>5.2.2</t>
  </si>
  <si>
    <t>Chapisco aplicado em alvenaria (sem presença de vãos) e estruturas de concreto de fachada, com colher de pedreiro. argamassa traço 1:3 com preparo manual.</t>
  </si>
  <si>
    <t>5.2.3</t>
  </si>
  <si>
    <t>Massa única, para recebimento de pintura, em argamassa traço 1:2:8, preparo manual,</t>
  </si>
  <si>
    <t>5.2.4</t>
  </si>
  <si>
    <t>Aplicação manual de pintura com tinta látex acrílica em paredes, duas demãos.</t>
  </si>
  <si>
    <t>Conjunto com 3 lixeiras em fibra de vidro, com capacidade de 20 l cada, com tampa vai e vem</t>
  </si>
  <si>
    <t>CPU-01-C</t>
  </si>
  <si>
    <t>CPU-02-C</t>
  </si>
  <si>
    <t xml:space="preserve">Mobilização </t>
  </si>
  <si>
    <t xml:space="preserve">Desmobilização 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</si>
  <si>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</si>
  <si>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</si>
  <si>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2.3</t>
  </si>
  <si>
    <t>Assentamento de guia (meio-fio) em trecho reto, confeccionada em concreto pré-fabricado, dimensões 80x08x08x25 cm (comprimento x base inferior x base superior x altura), para urbanização</t>
  </si>
  <si>
    <t>Execução de passeio em piso intertravado, com bloco retangular colorido (amarelo) de 20 x 10  cm, espessura de 6 cm.</t>
  </si>
  <si>
    <t>CPU-17</t>
  </si>
  <si>
    <t>Execução de escada para acesso aos diferentes níveis da praça, fck = 20 mPa, moldada in loco</t>
  </si>
  <si>
    <t>Execução muro em alvenaria estrutural nas diferenças de níveis da praça e nas laterais das rampas</t>
  </si>
  <si>
    <t>Execução de passeio (calçada) ou piso de concreto moldado in loco, usinado, acabamento convencional, não armado, 6 cm de espessura</t>
  </si>
  <si>
    <t>CPU-18</t>
  </si>
  <si>
    <t xml:space="preserve">Execução de rampa de concreto para acesso aos diferentes níveis da praça , fck = 20 mPa, esp. = 10 cm </t>
  </si>
  <si>
    <t>guarda-corpo h = 1,10 m e corrimão em tubo ferro galvanizado, barras superiores alt = 0,92 m e 0,70 m e barra inferior, diam. = 1 1/2", barras verticais a cada 0,11 m, curvas de aço carbono</t>
  </si>
  <si>
    <t>Corrimão simples, diâmetro externo = 1 1/2", em aço galvanizado. af_04/2019_p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</si>
  <si>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</t>
  </si>
  <si>
    <t>disjuntor tripolar tipo din, corrente nominal de 32a - fornecimento e instalação. af_10/2020</t>
  </si>
  <si>
    <t xml:space="preserve">Luminarias decorativas, poste com 2,5 m, lâmpadas de led 100 W, fornecimento e instalação </t>
  </si>
  <si>
    <t>CPU-14</t>
  </si>
  <si>
    <t>Luminarias decorativas, poste com 9,0 m, com quatro luminárias de led 100 W, fornecimento e instalação</t>
  </si>
  <si>
    <t>6.1.1</t>
  </si>
  <si>
    <t>TOTAL DO SUB-ITEM 6.1</t>
  </si>
  <si>
    <t>7.1</t>
  </si>
  <si>
    <t>7.2</t>
  </si>
  <si>
    <t>7.3</t>
  </si>
  <si>
    <t>TOTAL DO ITEM 7</t>
  </si>
  <si>
    <t>valor a chegar R$ 200.000,00</t>
  </si>
  <si>
    <t>M3</t>
  </si>
  <si>
    <t>M²</t>
  </si>
  <si>
    <t>KG</t>
  </si>
  <si>
    <t xml:space="preserve">                                          COMPANHIA DE DESENVOLVIMENTO DOS VALES DO SÃO FRANCISCO E DO PARNAÍBA</t>
  </si>
  <si>
    <t xml:space="preserve">                                                   2.ª GRD da 2ª SUPERINTENDÊNCIA REGIONAL- Bom Jesus da Lapa/Ba.</t>
  </si>
  <si>
    <t xml:space="preserve">ITEM </t>
  </si>
  <si>
    <t>DISCRIMINAÇÃO</t>
  </si>
  <si>
    <t>VALOR (R$)</t>
  </si>
  <si>
    <t>1º  Mês</t>
  </si>
  <si>
    <t>2º  Mês</t>
  </si>
  <si>
    <t>3º  Mês</t>
  </si>
  <si>
    <t>TOTAIS</t>
  </si>
  <si>
    <t>% DO ITEM</t>
  </si>
  <si>
    <t>TOTAL ACUMULADO</t>
  </si>
  <si>
    <t>% ACUMULADA</t>
  </si>
  <si>
    <t>MINISTÉRIO DO DESENVOLVIMENTO REGIONAL</t>
  </si>
  <si>
    <t>2.ª GRD da 2ª SUPERINTENDÊNCIA REGIONAL- Bom Jesus da Lapa/Ba.</t>
  </si>
  <si>
    <t xml:space="preserve">                          COMPANHIA DE DESENVOLVIMENTO DOS VALES DO SÃO FRANCISCO E DO PARNAÍBA</t>
  </si>
  <si>
    <t>vol. De bota-fora</t>
  </si>
  <si>
    <t>esp. Base</t>
  </si>
  <si>
    <t>base</t>
  </si>
  <si>
    <t>esp. De bota-fora</t>
  </si>
  <si>
    <t xml:space="preserve">largura da vala </t>
  </si>
  <si>
    <t>conforme projeto</t>
  </si>
  <si>
    <t>espessura da camada areia</t>
  </si>
  <si>
    <t>cabo de cobre 2,5</t>
  </si>
  <si>
    <t>cabo de cobre 10</t>
  </si>
  <si>
    <t xml:space="preserve">altura da vala </t>
  </si>
  <si>
    <t xml:space="preserve">reaterro </t>
  </si>
  <si>
    <t xml:space="preserve">área eletroduto </t>
  </si>
  <si>
    <t xml:space="preserve">escavação </t>
  </si>
  <si>
    <t>conforme projeto (65 (comprimento) x 4 (3 fases e 1 neutro))</t>
  </si>
  <si>
    <t>(*) - Valores calculados diretamente no projeto.</t>
  </si>
  <si>
    <t>784,36 (área a construir) x 0,20 (espessura da área escavada)=</t>
  </si>
  <si>
    <t>795,8 x 0,20</t>
  </si>
  <si>
    <t>784,36 conforme projeto=</t>
  </si>
  <si>
    <t>257,8 (comp. Do meio-fio) x 0,15 (largura da valeta) x 0,15 (altura da valeta)</t>
  </si>
  <si>
    <t>257,80 x 0,15</t>
  </si>
  <si>
    <t>curvo floreiras e intertravado</t>
  </si>
  <si>
    <t>96,80 (conforme projeto)</t>
  </si>
  <si>
    <t>curvo rua</t>
  </si>
  <si>
    <t>161,00 (conforme projeto)</t>
  </si>
  <si>
    <t>curvo interno</t>
  </si>
  <si>
    <t>6,28 m³ (volume da escavação) - (257,80 x 0,12 (altura da valeta - 3 cm do lastro) x 0,07 (largura da valeta - largura do meio-fio)</t>
  </si>
  <si>
    <t>98,71 (conforme projeto) - 3,10 ( desconto piso tátil)</t>
  </si>
  <si>
    <t>areas de intertravado natural</t>
  </si>
  <si>
    <t>32,51 (conforme projeto) - 0,25 (desconto piso tátil)</t>
  </si>
  <si>
    <t>189,76 (conforme projeto) - 5,72 (desconto árvore) - 5,2 (desconto piso tátil)</t>
  </si>
  <si>
    <t>desconto arvore</t>
  </si>
  <si>
    <t>desconto piso tátil</t>
  </si>
  <si>
    <t>4,12 (conforme projeto)</t>
  </si>
  <si>
    <t>33,75 (conforme projeto)</t>
  </si>
  <si>
    <t>soma</t>
  </si>
  <si>
    <t>35,67 (conforme projeto (amarelo + vermelho)</t>
  </si>
  <si>
    <t>total c desconto</t>
  </si>
  <si>
    <t>176,85 m² (área da calçada - área da rampa) x 0,06 (espessura da calçada)</t>
  </si>
  <si>
    <t>piso tátil</t>
  </si>
  <si>
    <t>0,2 m³ de concreto (conforme projeto) x 4 (quantidades de rampa)</t>
  </si>
  <si>
    <t>35,46 m² (conforme projeto)</t>
  </si>
  <si>
    <t>concreto</t>
  </si>
  <si>
    <t>42,75 m (conforme projeto)</t>
  </si>
  <si>
    <t>54,28 m (conforme projeto)</t>
  </si>
  <si>
    <t>guarda-corpo</t>
  </si>
  <si>
    <t>corrimão simples</t>
  </si>
  <si>
    <t xml:space="preserve">37,02 x 0,20 </t>
  </si>
  <si>
    <t xml:space="preserve">área do parquinho </t>
  </si>
  <si>
    <t xml:space="preserve">(5,00 (elet 1 1/4) + 59,28 (elet 3/4)) x 0,3 (largura da vala) x 0,3 (altura da vala) </t>
  </si>
  <si>
    <t>(59,28 + 5) x 0,05 (espessura areia)</t>
  </si>
  <si>
    <t>5,79 (volume escavado) - 0,96 (areia) (0,00028 (área do eletroduto) x (5 + 59,28))</t>
  </si>
  <si>
    <t>conforme projeto (59,28 (comprimento total) x 2 (fase e neutro) + 100 (Postes e luminárias)</t>
  </si>
  <si>
    <t>COMPANHIA DE DESENVOLVIMENTO DOS VALES DO SÃO FRANCISCO E DO PARNAÍBA</t>
  </si>
  <si>
    <t>MEMÓRIA DE CÁLCULO DOS MOMENTOS DE TRANSPORTE PARA MOBILIZAÇÃO E DESMOBILIZAÇÃO</t>
  </si>
  <si>
    <t>Cidade pólo</t>
  </si>
  <si>
    <t>Vitória da Conquista/Ba</t>
  </si>
  <si>
    <t>Cidade beneficiada</t>
  </si>
  <si>
    <t>Dist. da Origem ao destino:</t>
  </si>
  <si>
    <t xml:space="preserve"> km</t>
  </si>
  <si>
    <t>Distância Total:</t>
  </si>
  <si>
    <t>Peso das máquinas:</t>
  </si>
  <si>
    <t>Grade de 24 discos rebocável de 24"</t>
  </si>
  <si>
    <t xml:space="preserve"> ton</t>
  </si>
  <si>
    <t xml:space="preserve">Motoniveladora </t>
  </si>
  <si>
    <t>Retroescavadeira</t>
  </si>
  <si>
    <t>Rolo compactador liso vibratório 10,4 t</t>
  </si>
  <si>
    <t>Total</t>
  </si>
  <si>
    <t xml:space="preserve"> t x km</t>
  </si>
  <si>
    <t>Ilhéus/Ba</t>
  </si>
  <si>
    <t>COFINS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</si>
  <si>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</si>
  <si>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</si>
  <si>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BDI (%):</t>
  </si>
  <si>
    <t>ENCARGOS SOCIAIS (%):</t>
  </si>
  <si>
    <t>REF.</t>
  </si>
  <si>
    <t>PRECO UNITÁRIO</t>
  </si>
  <si>
    <t>TOTAL (R$)</t>
  </si>
  <si>
    <t>COMPOSICAO</t>
  </si>
  <si>
    <t>ENCARREGADO GERAL COM ENCARGOS COMPLEMENTARES</t>
  </si>
  <si>
    <t>ENGENHEIRO CIVIL DE OBRA JUNIOR COM ENCARGOS COMPLEMENTARES</t>
  </si>
  <si>
    <t>H</t>
  </si>
  <si>
    <t>Sub total:</t>
  </si>
  <si>
    <t>Total para 3 meses:</t>
  </si>
  <si>
    <t>PREÇO UNITÁRIO TOTAL:</t>
  </si>
  <si>
    <t>CPU-01.C</t>
  </si>
  <si>
    <t>ADMINISTRAÇÃO LOCAL (ILHÉUS)</t>
  </si>
  <si>
    <t>E9667</t>
  </si>
  <si>
    <t>Caminhão basculante com capacidade de 14 m³ - 188 kW</t>
  </si>
  <si>
    <t>CHP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</si>
  <si>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</si>
  <si>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</si>
  <si>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</si>
  <si>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</si>
  <si>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MOBILIZAÇÃO / DESMOBILIZAÇÃO (ILHÉUS)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</si>
  <si>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</si>
  <si>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</si>
  <si>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</si>
  <si>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</si>
  <si>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</si>
  <si>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</si>
  <si>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</si>
  <si>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</si>
  <si>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</si>
  <si>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</si>
  <si>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</si>
  <si>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</si>
  <si>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</si>
  <si>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</si>
  <si>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</si>
  <si>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</si>
  <si>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</si>
  <si>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</si>
  <si>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</si>
  <si>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</si>
  <si>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</si>
  <si>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</si>
  <si>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</si>
  <si>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</si>
  <si>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>UNID</t>
  </si>
  <si>
    <t>COEF.</t>
  </si>
  <si>
    <t>PRECO UNITÁRIO (R$)</t>
  </si>
  <si>
    <t>AREIA MEDIA - POSTO JAZIDA/FORNECEDOR (RETIRADO NA JAZIDA, SEM TRANSPORTE)</t>
  </si>
  <si>
    <t>0,0568000</t>
  </si>
  <si>
    <t>PO DE PEDRA (POSTO PEDREIRA/FORNECEDOR, SEM FRETE)</t>
  </si>
  <si>
    <t>CALCETEIRO COM ENCARGOS COMPLEMENTARES</t>
  </si>
  <si>
    <t>COMPACTAÇÃO MANUAL DE PAVIMENTAÇÃO DE BLOCO DE CONCRETO INTERTRAVADO COM PLACA VIBRATÓRIA 400KG - 7 A 10 HP NÃO REVERSÍVEL</t>
  </si>
  <si>
    <t>91283</t>
  </si>
  <si>
    <t>CORTADORA DE PISO COM MOTOR 4 TEMPOS A GASOLINA, POTÊNCIA DE 13 HP, COM DISCO DE CORTE DIAMANTADO SEGMENTADO PARA CONCRETO, DIÂMETRO DE 350 MM, FURO DE 1" (14 X 1") - CHP DIURNO. AF_08/2015</t>
  </si>
  <si>
    <t>BDI</t>
  </si>
  <si>
    <t>Total Serviços:</t>
  </si>
  <si>
    <t xml:space="preserve">Próprio </t>
  </si>
  <si>
    <t xml:space="preserve">EXECUÇÃO DE PASSEIO EM PISO INTERTRAVADO, COM BLOCO RETANGULAR COLORIDO DE 20 X 10 CM, ESPESSURA 6 CM </t>
  </si>
  <si>
    <t>BLOQUETE/PISO INTERTRAVADO DE CONCRETO - MODELO ONDA/16 FACES/RETANGULAR/TIJOLINHO/PAVER/HOLANDÊS/PARALELEPÍPEDO, 20 X 10 CM, E = 6 CM, RESISTÊNCIA DE 35 MPA, COLORIDO</t>
  </si>
  <si>
    <t>CHI</t>
  </si>
  <si>
    <t>Luminarias decorativas com chapeu refletor em aluminio, poste de 3 m, inclusive lampada de 250 w</t>
  </si>
  <si>
    <t>AJUDANTE DE CARPINTEIRO COM ENCARGOS COMPLEMENTARES</t>
  </si>
  <si>
    <t xml:space="preserve">SINAPI </t>
  </si>
  <si>
    <t>CONCRETO FCK = 20MPA, TRAÇO 1:2,7:3 (EM MASSA SECA DE CIMENTO/ AREIA MÉDIA/ BRITA 1) - PREPARO MECÂNICO COM BETONEIRA 400 L. AF_05/2021</t>
  </si>
  <si>
    <t>ARMAÇÃO DE PILAR OU VIGA DE UMA ESTRUTURA CONVENCIONAL DE CONCRETO ARMADO</t>
  </si>
  <si>
    <t xml:space="preserve">Pintura verniz (incolor) alquídico em madeira, duas demãos </t>
  </si>
  <si>
    <t>PÓ DE BRITA</t>
  </si>
  <si>
    <t xml:space="preserve">SERVENTE COM ENCARGOS COMPLEMENTARES </t>
  </si>
  <si>
    <t>RAMPA DE ACESSIBILIDADE</t>
  </si>
  <si>
    <t>SARRAFO NAO APARELHADO *2,5 X 10* CM, EM MACARANDUBA, ANGELIM OU EQUIVALENTE DA REGIAO -  BRUTA</t>
  </si>
  <si>
    <t>SARRAFO *2,5 X 7,5* CM EM PINUS, MISTA OU EQUIVALENTE DA REGIAO - BRUTA</t>
  </si>
  <si>
    <t>Próprio (sinpai 93679)</t>
  </si>
  <si>
    <t xml:space="preserve">EXECUÇÃO DE PASSEIO EM PISO INTERTRAVADO, COM BLOCO RETANGULAR COR NATURAL DE 20 X 10 CM, ESPESSURA 6 CM </t>
  </si>
  <si>
    <t>BLOQUETE/PISO INTERTRAVADO DE CONCRETO - MODELO ONDA/16 FACES/RETANGULAR/TIJOLINHO/PAVER/HOLANDÊS/PARALELEPÍPEDO, 20 X 10 CM, E = 6 CM, RESISTÊNCIA DE 35 MPA, COR NATURAL</t>
  </si>
  <si>
    <t xml:space="preserve">Luminarias decorativas, poste com 2,5 m, com duas luminárias de led 100 W, fornecimento e instalação </t>
  </si>
  <si>
    <t>ESCAVAÇÃO MANUAL DE VALA COM PROFUNDIDADE MENOR IGUAL 1,3 M.</t>
  </si>
  <si>
    <t>CABO DE COBRE NU 35 MM² MEIO-DURO</t>
  </si>
  <si>
    <t>CHUMBADOR DE AÇO, DIAMETRO 5/8", COMPRIMENTO 6", COM PORCA</t>
  </si>
  <si>
    <t>POSTE EM TUBO DE AÇO GALVANIZADO, PESADO, D=2", ALTURA = 2,5 M</t>
  </si>
  <si>
    <t>ELETRICISTA COM ENCARGOS COMPLEMENTARES</t>
  </si>
  <si>
    <t>AUXILIAR DE ELETRICISTA COM ESCARGOS COMPLEMENTARES</t>
  </si>
  <si>
    <t>FITA ISOLANTE ADESIVA ANTICHAMA, USO ATÉ 750 V, EM ROLO DE 19 MM X 5 M</t>
  </si>
  <si>
    <t>LUMINÁRIA DE LED PARA ILUMINAÇÃO PÚBLICA, 100 W BIVOLT, SELO A INMETRO, CORPO EM ALUMÍNIO INJ, FP 0,97, PROT. DPS 10 KV, IP66, IK09, TEMP. COR 5000 K, IRC= OU 70%, 130 LM/W.GAR 5 ANOS , MODELO GL216 G-LIGHT OU SIMILAR</t>
  </si>
  <si>
    <t xml:space="preserve">CHUMBADOR DE AÇO, 1" X 600 MM, PARA POSTES DE AÇO COM BASE, INCLUSO PORCA E ARRUELA  </t>
  </si>
  <si>
    <t xml:space="preserve">POSTE EM AÇO GALVANIZADO CÔNICO CONTÍNUO RETO, DIÂMETRO SUPERIOR DE 76 MM, DIÂMETRO DE BASE 175 MM, ALTURA TOTAL 9 M. </t>
  </si>
  <si>
    <t>ALUGUEL DE CAMINHÃO GUINDAUTO 3,0 T</t>
  </si>
  <si>
    <t xml:space="preserve">Luminarias decorativas, poste com 9,0 m, com quatro luminárias de led 100 W, fornecimento e instalação </t>
  </si>
  <si>
    <t>Banco em concreto (pés), com assento e encosto de madeira</t>
  </si>
  <si>
    <t>PARAFUSO FRANCÊS, COMPRIMENTO = 150 MM, DIÂMETRO 16 MM, CABEÇA ABAULADA</t>
  </si>
  <si>
    <t xml:space="preserve">FORMA METÁLICA PARA PRÉ-MOLDADOS, EM CHAPA E PERFIS DE AÇO, 120 USOS </t>
  </si>
  <si>
    <t>VIGA APARELHADA 0,05 X 0,12 M, EM MAÇARANDUBA, ANGELIM OU EQUIVALENTE</t>
  </si>
  <si>
    <t>Execução de escada em concreto armado, moldada in loco, fck = 20 mPa</t>
  </si>
  <si>
    <t xml:space="preserve">FORMA PLANA PARA ESTRUTURAS, EM COMPENSADO RESINADO DE 12 MM, 2 USOS, INCLUSIVE ESCORAMENTO </t>
  </si>
  <si>
    <t>AÇO CA - 50 DIAM. 6,3 A 12,5 MM, INCLUSIVE CORTE, DOBRAGEM, MONTAGEM E COLOCAÇÃO DE FERRAGENS NAS FORMAS, PARA SUPERESTRUTURAS E FUNDAÇÕES</t>
  </si>
  <si>
    <t xml:space="preserve">CAMADA SEPARADORA EM LONA PLÁSTICA </t>
  </si>
  <si>
    <t>Execução de rampa em concreto armado, fck = 20 mPa</t>
  </si>
  <si>
    <t>LASTRO COM MATERIAL GRANULAR (PEDRA BRITADA N.2), APLICADO EM PISOS OU LAJES SOBRE SOLO, ESPESSURA DE *10 CM*. AF_08/2017</t>
  </si>
  <si>
    <t>FABRICAÇÃO, MONTAGEM E DESMONTAGEM DE FORMA PARA RADIER, PISO DE CONCRETO OU LAJE SOBRE SOLO, EM MADEIRA SERRADA, 4 UTILIZAÇÕES. AF_09/2021</t>
  </si>
  <si>
    <t>CAMADA SEPARADORA PARA EXECUÇÃO DE RADIER, PISO DE CONCRETO OU LAJE SOBRE SOLO, EM LONA PLÁSTICA. AF_09/2021</t>
  </si>
  <si>
    <t>ARMAÇÃO PARA EXECUÇÃO DE RADIER, PISO DE CONCRETO OU LAJE SOBRE SOLO, COM USO DE TELA Q-113. AF_09/2021</t>
  </si>
  <si>
    <t xml:space="preserve">Parque infantil - fornecimento e instalação </t>
  </si>
  <si>
    <t xml:space="preserve">ESCORREGADEIRA EM AÇO CARBONO COM 2 M DE PISTA </t>
  </si>
  <si>
    <t>GANGORRA COM 3 PRANCHAS EM AÇO INDUSTRIAL OU MADEIRA</t>
  </si>
  <si>
    <t>BRINQUEDO GIRA-GIRA (CARROSSEL DIAM. = 1,70 M) EM TUBO DE FERRO GALVANIZADO 1 1/2" E ASSENTO EM CHAPA GALVANIZADA E= 1/4"</t>
  </si>
  <si>
    <t>BALANÇO COM 3 LUGARES EM AÇO INDUSTRIAL OU MADEIRA</t>
  </si>
  <si>
    <t>E9605</t>
  </si>
  <si>
    <t>CAMINHÃO PIPA 6.000 L.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</si>
  <si>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</si>
  <si>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</si>
  <si>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E9685</t>
  </si>
  <si>
    <t>ROLO COMPACTADOR VIBRATÓRIO PÉ DE CARNEIRO PARA SOLOS, AUTOPROPELIDO POR PNEUS DE 11,6 T</t>
  </si>
  <si>
    <t>REGULARIZAÇÃO E COMPACTAÇÃO DE SUBLEITO DE SOLO PREDOMINANTEMENTE ARGILOSO</t>
  </si>
  <si>
    <t>ROLO COMPACTADOR VIBRATÓRIO PÉ DE CARNEIRO PARA SOLOS, POTÊNCIA 80 HP, PESO OPERACIONAL SEM/COM LASTRO 7,4 / 8,8 T, LARGURA DE TRABALHO 1,68 M - CHI DIURNO. AF_02/2016</t>
  </si>
  <si>
    <t>OBRA:</t>
  </si>
  <si>
    <t>Obras rodoviárias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</si>
  <si>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</si>
  <si>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</si>
  <si>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</si>
  <si>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</si>
  <si>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</si>
  <si>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</si>
  <si>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</si>
  <si>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</si>
  <si>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</si>
  <si>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</si>
  <si>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</si>
  <si>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</si>
  <si>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</si>
  <si>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</si>
  <si>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</si>
  <si>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</si>
  <si>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</si>
  <si>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</si>
  <si>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</si>
  <si>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</si>
  <si>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</si>
  <si>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</si>
  <si>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</si>
  <si>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</si>
  <si>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</si>
  <si>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</si>
  <si>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</si>
  <si>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</si>
  <si>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</si>
  <si>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</si>
  <si>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</si>
  <si>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</si>
  <si>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</si>
  <si>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</si>
  <si>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</si>
  <si>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</si>
  <si>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</si>
  <si>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</si>
  <si>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</si>
  <si>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</si>
  <si>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</si>
  <si>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</si>
  <si>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VIGÊNCIA A PARTIR DE 10/2021</t>
  </si>
  <si>
    <t>COM DESONERAÇÃO</t>
  </si>
  <si>
    <t>NÃO DESONERADO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</si>
  <si>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</si>
  <si>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</si>
  <si>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</si>
  <si>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</si>
  <si>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</si>
  <si>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</si>
  <si>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</si>
  <si>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</si>
  <si>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</si>
  <si>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</si>
  <si>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</si>
  <si>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</si>
  <si>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</si>
  <si>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</si>
  <si>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</si>
  <si>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</si>
  <si>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</si>
  <si>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</si>
  <si>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</si>
  <si>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</si>
  <si>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</si>
  <si>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</si>
  <si>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</si>
  <si>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</si>
  <si>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</si>
  <si>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</si>
  <si>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</si>
  <si>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</si>
  <si>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</si>
  <si>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</si>
  <si>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</si>
  <si>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</si>
  <si>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</si>
  <si>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</si>
  <si>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</si>
  <si>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</si>
  <si>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</si>
  <si>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</si>
  <si>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</si>
  <si>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</si>
  <si>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</si>
  <si>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</si>
  <si>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</si>
  <si>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</si>
  <si>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</si>
  <si>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</si>
  <si>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</si>
  <si>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</si>
  <si>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</si>
  <si>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</si>
  <si>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</si>
  <si>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</si>
  <si>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</si>
  <si>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</si>
  <si>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</si>
  <si>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</si>
  <si>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</si>
  <si>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</si>
  <si>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</si>
  <si>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</si>
  <si>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</si>
  <si>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PLANILHA ORÇAMENTÁRIA - ILHÉUS - LOTE 03</t>
  </si>
  <si>
    <t>SINAPI: OUTBRO/2021; ORSE: SETEMBRO/2021; SICRO: JULHO/2021</t>
  </si>
  <si>
    <t>CRONOGRAMA FÍSICO/FINANCEIRO - ILHÉUS - LOTE 03</t>
  </si>
  <si>
    <t>MEMÓRIA DE CÁLCULO - ILHÉUS - LOTE 03</t>
  </si>
  <si>
    <t>LOTE 03 - ILHÉUS</t>
  </si>
  <si>
    <t xml:space="preserve">                 MINISTÉRIO DO DESENVOLVIMENTO REGIONAL</t>
  </si>
  <si>
    <t>MEMÓRIA DE CALCULO DO BDI  DOS SERVIÇOS - NÃO DESONERADO</t>
  </si>
  <si>
    <t>BDI APLICADO NA OBRA (SEM RISCO, SEGURO E GARANTIA)</t>
  </si>
  <si>
    <t>PLANILHA DE DETALHAMENTO DO BDI - PRAÇAS</t>
  </si>
  <si>
    <t>DETALHAMENTO DOS ENCARGOS SOCIAIS (%) - PRAÇAS</t>
  </si>
  <si>
    <t xml:space="preserve">                      MINISTÉRIO DO DESENVOLVIMENTO REGIONAL</t>
  </si>
  <si>
    <t>PLANILHA COMPOSIÇÕES DE PREÇOS - PRAÇA ILHÉUS - LOTE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</si>
</sst>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#,##0.000000"/>
    <numFmt numFmtId="166" formatCode="_(&quot;R$ &quot;* #,##0.00_);_(&quot;R$ &quot;* \(#,##0.00\);_(&quot;R$ &quot;* &quot;-&quot;??_);_(@_)"/>
    <numFmt numFmtId="167" formatCode="&quot;R$&quot;\ #,##0.00"/>
    <numFmt numFmtId="169" formatCode="#,##0.00\ ;&quot; (&quot;#,##0.00\);&quot; -&quot;#\ ;@\ "/>
    <numFmt numFmtId="170" formatCode="_(* #,##0.00_);_(* \(#,##0.00\);_(* &quot;-&quot;??_);_(@_)"/>
    <numFmt numFmtId="172" formatCode="#,##0.0000000"/>
    <numFmt numFmtId="173" formatCode="#,##0.0000"/>
    <numFmt numFmtId="175" formatCode="0.0000"/>
    <numFmt numFmtId="177" formatCode="&quot;R$&quot;#,##0.00_);[Red]\(&quot;R$&quot;#,##0.00\)"/>
  </numFmts>
  <fonts count="51">
    <font>
      <sz val="10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b/>
      <sz val="11"/>
      <name val="Arial"/>
      <charset val="134"/>
    </font>
    <font>
      <b/>
      <sz val="8"/>
      <color indexed="8"/>
      <name val="Times New Roman"/>
      <charset val="134"/>
    </font>
    <font>
      <sz val="10"/>
      <color indexed="8"/>
      <name val="Times New Roman"/>
      <charset val="134"/>
    </font>
    <font>
      <sz val="8"/>
      <color indexed="8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sz val="10"/>
      <name val="Arial"/>
    </font>
    <font>
      <sz val="12"/>
      <name val="Arial"/>
    </font>
    <font>
      <b/>
      <sz val="12"/>
      <name val="Arial"/>
    </font>
    <font>
      <b/>
      <sz val="9"/>
      <name val="Arial"/>
      <charset val="134"/>
    </font>
    <font>
      <b/>
      <sz val="16"/>
      <name val="Arial"/>
      <charset val="134"/>
    </font>
    <font>
      <sz val="11"/>
      <name val="Arial"/>
      <charset val="134"/>
    </font>
    <font>
      <sz val="12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b/>
      <strike/>
      <sz val="10"/>
      <name val="Arial"/>
      <charset val="134"/>
    </font>
    <font>
      <b/>
      <sz val="12"/>
      <color rgb="FFFF0000"/>
      <name val="Arial"/>
      <charset val="134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charset val="134"/>
    </font>
    <font>
      <b/>
      <sz val="11"/>
      <name val="Verdana"/>
      <charset val="134"/>
    </font>
    <font>
      <b/>
      <sz val="15"/>
      <name val="Arial"/>
      <charset val="134"/>
    </font>
    <font>
      <b/>
      <sz val="18"/>
      <name val="Arial"/>
      <charset val="134"/>
    </font>
    <font>
      <sz val="9"/>
      <name val="Verdana"/>
      <charset val="134"/>
    </font>
    <font>
      <b/>
      <sz val="9"/>
      <name val="Verdana"/>
      <charset val="134"/>
    </font>
    <font>
      <sz val="8"/>
      <name val="Verdana"/>
      <charset val="134"/>
    </font>
    <font>
      <b/>
      <sz val="10"/>
      <color indexed="8"/>
      <name val="Arial Narrow"/>
      <charset val="134"/>
    </font>
    <font>
      <sz val="10"/>
      <color indexed="8"/>
      <name val="Arial Narrow"/>
      <charset val="134"/>
    </font>
    <font>
      <sz val="12"/>
      <color indexed="8"/>
      <name val="Arial Narrow"/>
      <charset val="134"/>
    </font>
    <font>
      <b/>
      <sz val="14"/>
      <name val="Arial"/>
      <charset val="134"/>
    </font>
    <font>
      <b/>
      <sz val="12"/>
      <name val="MonoMM1_ZeroNormal"/>
      <charset val="134"/>
    </font>
    <font>
      <sz val="10"/>
      <name val="MonoMM1_ZeroNormal"/>
      <charset val="134"/>
    </font>
    <font>
      <sz val="11"/>
      <color indexed="8"/>
      <name val="Arial Narrow"/>
      <charset val="134"/>
    </font>
    <font>
      <sz val="8"/>
      <name val="Arial"/>
      <charset val="134"/>
    </font>
    <font>
      <sz val="10"/>
      <color rgb="FFFF0000"/>
      <name val="Arial"/>
      <charset val="134"/>
    </font>
    <font>
      <b/>
      <sz val="11"/>
      <color indexed="8"/>
      <name val="Arial Narrow"/>
      <charset val="134"/>
    </font>
    <font>
      <b/>
      <sz val="14"/>
      <color rgb="FFFF0000"/>
      <name val="Arial"/>
      <charset val="134"/>
    </font>
    <font>
      <b/>
      <sz val="11"/>
      <name val="MonoMM1_ZeroNormal"/>
      <charset val="134"/>
    </font>
    <font>
      <sz val="11"/>
      <color theme="1"/>
      <name val="Calibri"/>
      <charset val="134"/>
      <scheme val="minor"/>
    </font>
    <font>
      <sz val="10"/>
      <name val="Arial"/>
    </font>
    <font>
      <sz val="11"/>
      <color rgb="FF000000"/>
      <name val="Calibri"/>
      <charset val="134"/>
    </font>
    <font>
      <sz val="10"/>
      <name val="Arial"/>
      <charset val="134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2"/>
        <bgColor indexed="64"/>
      </patternFill>
    </fill>
  </fills>
  <borders count="9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170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47" fillId="0" borderId="0"/>
    <xf numFmtId="166" fontId="47" fillId="0" borderId="0" applyFont="0" applyFill="0" applyBorder="0" applyAlignment="0" applyProtection="0"/>
    <xf numFmtId="170" fontId="45" fillId="0" borderId="0" applyFont="0" applyFill="0" applyBorder="0" applyAlignment="0" applyProtection="0"/>
    <xf numFmtId="0" fontId="47" fillId="0" borderId="0"/>
    <xf numFmtId="170" fontId="47" fillId="0" borderId="0" applyFont="0" applyFill="0" applyBorder="0" applyAlignment="0" applyProtection="0"/>
    <xf numFmtId="0" fontId="47" fillId="0" borderId="0"/>
    <xf numFmtId="0" fontId="44" fillId="0" borderId="0"/>
    <xf numFmtId="0" fontId="44" fillId="0" borderId="0"/>
    <xf numFmtId="43" fontId="44" fillId="0" borderId="0" applyFont="0" applyFill="0" applyBorder="0" applyAlignment="0" applyProtection="0"/>
    <xf numFmtId="0" fontId="46" fillId="0" borderId="0"/>
    <xf numFmtId="9" fontId="47" fillId="0" borderId="0" applyFont="0" applyFill="0" applyBorder="0" applyAlignment="0" applyProtection="0"/>
    <xf numFmtId="43" fontId="44" fillId="0" borderId="0" applyFont="0" applyFill="0" applyBorder="0" applyAlignment="0" applyProtection="0"/>
  </cellStyleXfs>
  <cellXfs count="54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0" fontId="3" fillId="0" borderId="7" xfId="0" applyNumberFormat="1" applyFont="1" applyBorder="1" applyAlignment="1">
      <alignment vertical="center"/>
    </xf>
    <xf numFmtId="10" fontId="3" fillId="0" borderId="9" xfId="0" applyNumberFormat="1" applyFont="1" applyBorder="1" applyAlignment="1">
      <alignment vertical="center"/>
    </xf>
    <xf numFmtId="0" fontId="2" fillId="0" borderId="0" xfId="4" applyFont="1"/>
    <xf numFmtId="0" fontId="6" fillId="0" borderId="16" xfId="13" applyFont="1" applyFill="1" applyBorder="1" applyAlignment="1">
      <alignment horizontal="center" vertical="center" wrapText="1"/>
    </xf>
    <xf numFmtId="172" fontId="6" fillId="0" borderId="16" xfId="5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0" fontId="8" fillId="0" borderId="21" xfId="9" applyNumberFormat="1" applyFont="1" applyBorder="1" applyAlignment="1">
      <alignment vertical="center"/>
    </xf>
    <xf numFmtId="0" fontId="8" fillId="0" borderId="21" xfId="9" applyFont="1" applyBorder="1" applyAlignment="1">
      <alignment horizontal="right" vertical="center"/>
    </xf>
    <xf numFmtId="10" fontId="8" fillId="0" borderId="22" xfId="9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8" fillId="0" borderId="23" xfId="9" applyFont="1" applyBorder="1" applyAlignment="1">
      <alignment horizontal="right" vertical="center"/>
    </xf>
    <xf numFmtId="10" fontId="8" fillId="0" borderId="24" xfId="9" applyNumberFormat="1" applyFont="1" applyBorder="1" applyAlignment="1">
      <alignment horizontal="right" vertical="center"/>
    </xf>
    <xf numFmtId="0" fontId="7" fillId="4" borderId="26" xfId="0" applyFont="1" applyFill="1" applyBorder="1" applyAlignment="1">
      <alignment horizontal="center" vertical="center"/>
    </xf>
    <xf numFmtId="0" fontId="9" fillId="2" borderId="26" xfId="13" applyFont="1" applyFill="1" applyBorder="1" applyAlignment="1">
      <alignment horizontal="center" vertical="center" wrapText="1"/>
    </xf>
    <xf numFmtId="0" fontId="6" fillId="0" borderId="16" xfId="13" applyFont="1" applyFill="1" applyBorder="1" applyAlignment="1">
      <alignment horizontal="justify" vertical="center" wrapText="1"/>
    </xf>
    <xf numFmtId="0" fontId="0" fillId="0" borderId="9" xfId="4" applyFont="1" applyFill="1" applyBorder="1" applyAlignment="1">
      <alignment horizontal="center" vertical="center"/>
    </xf>
    <xf numFmtId="0" fontId="6" fillId="0" borderId="16" xfId="13" applyFont="1" applyFill="1" applyBorder="1" applyAlignment="1">
      <alignment horizontal="justify" vertical="center"/>
    </xf>
    <xf numFmtId="0" fontId="10" fillId="0" borderId="0" xfId="0" applyFont="1" applyFill="1" applyBorder="1" applyAlignment="1"/>
    <xf numFmtId="0" fontId="10" fillId="0" borderId="28" xfId="7" applyFont="1" applyFill="1" applyBorder="1" applyAlignment="1"/>
    <xf numFmtId="0" fontId="10" fillId="0" borderId="29" xfId="7" applyFont="1" applyFill="1" applyBorder="1" applyAlignment="1"/>
    <xf numFmtId="0" fontId="10" fillId="0" borderId="30" xfId="7" applyFont="1" applyFill="1" applyBorder="1" applyAlignment="1"/>
    <xf numFmtId="0" fontId="10" fillId="0" borderId="31" xfId="7" applyFont="1" applyFill="1" applyBorder="1" applyAlignment="1"/>
    <xf numFmtId="0" fontId="10" fillId="0" borderId="0" xfId="7" applyFont="1" applyFill="1" applyBorder="1" applyAlignment="1"/>
    <xf numFmtId="0" fontId="10" fillId="0" borderId="32" xfId="7" applyFont="1" applyFill="1" applyBorder="1" applyAlignment="1"/>
    <xf numFmtId="0" fontId="10" fillId="0" borderId="33" xfId="7" applyFont="1" applyFill="1" applyBorder="1" applyAlignment="1"/>
    <xf numFmtId="0" fontId="10" fillId="0" borderId="25" xfId="7" applyFont="1" applyFill="1" applyBorder="1" applyAlignment="1"/>
    <xf numFmtId="0" fontId="10" fillId="0" borderId="26" xfId="7" applyFont="1" applyFill="1" applyBorder="1" applyAlignment="1"/>
    <xf numFmtId="0" fontId="10" fillId="0" borderId="34" xfId="7" applyFont="1" applyFill="1" applyBorder="1" applyAlignment="1"/>
    <xf numFmtId="0" fontId="12" fillId="0" borderId="26" xfId="9" applyFont="1" applyFill="1" applyBorder="1" applyAlignment="1">
      <alignment horizontal="center" vertical="center"/>
    </xf>
    <xf numFmtId="0" fontId="11" fillId="0" borderId="31" xfId="7" applyFont="1" applyFill="1" applyBorder="1" applyAlignment="1"/>
    <xf numFmtId="0" fontId="12" fillId="0" borderId="33" xfId="9" applyFont="1" applyFill="1" applyBorder="1" applyAlignment="1">
      <alignment horizontal="center" vertical="center"/>
    </xf>
    <xf numFmtId="0" fontId="11" fillId="0" borderId="42" xfId="9" applyFont="1" applyFill="1" applyBorder="1" applyAlignment="1">
      <alignment horizontal="center"/>
    </xf>
    <xf numFmtId="0" fontId="11" fillId="0" borderId="20" xfId="9" applyFont="1" applyFill="1" applyBorder="1" applyAlignment="1"/>
    <xf numFmtId="169" fontId="11" fillId="5" borderId="20" xfId="9" applyNumberFormat="1" applyFont="1" applyFill="1" applyBorder="1" applyAlignment="1">
      <alignment horizontal="center" vertical="center"/>
    </xf>
    <xf numFmtId="169" fontId="11" fillId="5" borderId="43" xfId="9" applyNumberFormat="1" applyFont="1" applyFill="1" applyBorder="1" applyAlignment="1">
      <alignment horizontal="center" vertical="center"/>
    </xf>
    <xf numFmtId="0" fontId="11" fillId="0" borderId="44" xfId="9" applyFont="1" applyFill="1" applyBorder="1" applyAlignment="1">
      <alignment horizontal="center"/>
    </xf>
    <xf numFmtId="0" fontId="11" fillId="0" borderId="17" xfId="9" applyFont="1" applyFill="1" applyBorder="1" applyAlignment="1"/>
    <xf numFmtId="169" fontId="11" fillId="5" borderId="17" xfId="9" applyNumberFormat="1" applyFont="1" applyFill="1" applyBorder="1" applyAlignment="1">
      <alignment horizontal="center" vertical="center"/>
    </xf>
    <xf numFmtId="169" fontId="11" fillId="5" borderId="45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/>
    </xf>
    <xf numFmtId="0" fontId="11" fillId="0" borderId="15" xfId="9" applyFont="1" applyFill="1" applyBorder="1" applyAlignment="1"/>
    <xf numFmtId="169" fontId="11" fillId="5" borderId="15" xfId="9" applyNumberFormat="1" applyFont="1" applyFill="1" applyBorder="1" applyAlignment="1">
      <alignment horizontal="center" vertical="center"/>
    </xf>
    <xf numFmtId="169" fontId="11" fillId="5" borderId="47" xfId="9" applyNumberFormat="1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vertical="center"/>
    </xf>
    <xf numFmtId="169" fontId="12" fillId="6" borderId="9" xfId="9" applyNumberFormat="1" applyFont="1" applyFill="1" applyBorder="1" applyAlignment="1">
      <alignment horizontal="center" vertical="center"/>
    </xf>
    <xf numFmtId="169" fontId="12" fillId="6" borderId="41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 vertical="center"/>
    </xf>
    <xf numFmtId="0" fontId="11" fillId="0" borderId="15" xfId="9" applyFont="1" applyFill="1" applyBorder="1" applyAlignment="1">
      <alignment horizontal="justify" vertical="center" wrapText="1"/>
    </xf>
    <xf numFmtId="169" fontId="12" fillId="6" borderId="49" xfId="9" applyNumberFormat="1" applyFont="1" applyFill="1" applyBorder="1" applyAlignment="1">
      <alignment horizontal="center" vertical="center"/>
    </xf>
    <xf numFmtId="10" fontId="12" fillId="6" borderId="49" xfId="9" applyNumberFormat="1" applyFont="1" applyFill="1" applyBorder="1" applyAlignment="1">
      <alignment horizontal="center" vertical="center"/>
    </xf>
    <xf numFmtId="10" fontId="12" fillId="6" borderId="50" xfId="9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1" fillId="0" borderId="33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49" fontId="17" fillId="8" borderId="31" xfId="11" applyNumberFormat="1" applyFont="1" applyFill="1" applyBorder="1" applyAlignment="1">
      <alignment horizontal="center" vertical="center"/>
    </xf>
    <xf numFmtId="49" fontId="17" fillId="8" borderId="0" xfId="11" applyNumberFormat="1" applyFont="1" applyFill="1" applyBorder="1" applyAlignment="1">
      <alignment horizontal="center" vertical="center"/>
    </xf>
    <xf numFmtId="0" fontId="18" fillId="0" borderId="0" xfId="11" applyFont="1" applyBorder="1"/>
    <xf numFmtId="0" fontId="13" fillId="8" borderId="0" xfId="11" applyFont="1" applyFill="1" applyBorder="1" applyAlignment="1">
      <alignment horizontal="center" vertical="center"/>
    </xf>
    <xf numFmtId="0" fontId="13" fillId="0" borderId="48" xfId="11" applyFont="1" applyFill="1" applyBorder="1" applyAlignment="1">
      <alignment horizontal="center" vertical="center"/>
    </xf>
    <xf numFmtId="0" fontId="0" fillId="0" borderId="0" xfId="11" applyFont="1" applyBorder="1" applyAlignment="1">
      <alignment vertical="center"/>
    </xf>
    <xf numFmtId="170" fontId="2" fillId="0" borderId="64" xfId="11" applyNumberFormat="1" applyFont="1" applyFill="1" applyBorder="1" applyAlignment="1">
      <alignment horizontal="center" vertical="center" wrapText="1"/>
    </xf>
    <xf numFmtId="0" fontId="2" fillId="0" borderId="0" xfId="11" applyFont="1" applyFill="1" applyBorder="1" applyAlignment="1">
      <alignment horizontal="justify" vertical="center" wrapText="1"/>
    </xf>
    <xf numFmtId="0" fontId="2" fillId="0" borderId="64" xfId="11" applyFont="1" applyFill="1" applyBorder="1" applyAlignment="1">
      <alignment horizontal="justify" vertical="center" wrapText="1"/>
    </xf>
    <xf numFmtId="0" fontId="0" fillId="0" borderId="33" xfId="11" applyFont="1" applyBorder="1" applyAlignment="1">
      <alignment horizontal="center" vertical="center"/>
    </xf>
    <xf numFmtId="0" fontId="0" fillId="0" borderId="9" xfId="11" applyFont="1" applyFill="1" applyBorder="1" applyAlignment="1">
      <alignment vertical="center"/>
    </xf>
    <xf numFmtId="10" fontId="0" fillId="9" borderId="41" xfId="12" applyNumberFormat="1" applyFont="1" applyFill="1" applyBorder="1" applyAlignment="1" applyProtection="1">
      <alignment horizontal="center" vertical="center"/>
      <protection locked="0"/>
    </xf>
    <xf numFmtId="10" fontId="0" fillId="0" borderId="0" xfId="12" applyNumberFormat="1" applyFont="1" applyBorder="1" applyAlignment="1">
      <alignment horizontal="center" vertical="center"/>
    </xf>
    <xf numFmtId="10" fontId="0" fillId="0" borderId="33" xfId="12" applyNumberFormat="1" applyFont="1" applyBorder="1" applyAlignment="1">
      <alignment horizontal="center" vertical="center"/>
    </xf>
    <xf numFmtId="10" fontId="2" fillId="0" borderId="50" xfId="12" applyNumberFormat="1" applyFont="1" applyBorder="1" applyAlignment="1">
      <alignment horizontal="center" vertical="center"/>
    </xf>
    <xf numFmtId="10" fontId="2" fillId="0" borderId="0" xfId="12" applyNumberFormat="1" applyFont="1" applyBorder="1" applyAlignment="1">
      <alignment horizontal="center" vertical="center"/>
    </xf>
    <xf numFmtId="10" fontId="0" fillId="0" borderId="48" xfId="12" applyNumberFormat="1" applyFont="1" applyBorder="1" applyAlignment="1">
      <alignment horizontal="center" vertical="center"/>
    </xf>
    <xf numFmtId="0" fontId="0" fillId="0" borderId="0" xfId="11" applyFont="1" applyBorder="1" applyAlignment="1">
      <alignment horizontal="center" vertical="center"/>
    </xf>
    <xf numFmtId="10" fontId="0" fillId="0" borderId="64" xfId="12" applyNumberFormat="1" applyFont="1" applyBorder="1" applyAlignment="1">
      <alignment horizontal="center" vertical="center"/>
    </xf>
    <xf numFmtId="0" fontId="0" fillId="0" borderId="71" xfId="11" applyFont="1" applyBorder="1" applyAlignment="1">
      <alignment horizontal="center" vertical="center"/>
    </xf>
    <xf numFmtId="10" fontId="0" fillId="9" borderId="74" xfId="12" applyNumberFormat="1" applyFont="1" applyFill="1" applyBorder="1" applyAlignment="1" applyProtection="1">
      <alignment horizontal="center" vertical="center"/>
      <protection locked="0"/>
    </xf>
    <xf numFmtId="10" fontId="2" fillId="0" borderId="0" xfId="12" applyNumberFormat="1" applyFont="1" applyBorder="1" applyAlignment="1">
      <alignment horizontal="center" vertical="center" wrapText="1"/>
    </xf>
    <xf numFmtId="10" fontId="0" fillId="0" borderId="77" xfId="12" applyNumberFormat="1" applyFont="1" applyBorder="1" applyAlignment="1">
      <alignment horizontal="center" vertical="center"/>
    </xf>
    <xf numFmtId="0" fontId="0" fillId="0" borderId="13" xfId="11" applyFont="1" applyFill="1" applyBorder="1" applyAlignment="1">
      <alignment vertical="center"/>
    </xf>
    <xf numFmtId="10" fontId="0" fillId="8" borderId="0" xfId="12" applyNumberFormat="1" applyFont="1" applyFill="1" applyBorder="1" applyAlignment="1">
      <alignment vertical="center"/>
    </xf>
    <xf numFmtId="10" fontId="0" fillId="0" borderId="0" xfId="12" applyNumberFormat="1" applyFont="1" applyBorder="1" applyAlignment="1">
      <alignment vertical="center"/>
    </xf>
    <xf numFmtId="0" fontId="0" fillId="0" borderId="0" xfId="11" applyFont="1" applyFill="1" applyBorder="1" applyAlignment="1">
      <alignment horizontal="center" vertical="center"/>
    </xf>
    <xf numFmtId="170" fontId="2" fillId="0" borderId="31" xfId="11" applyNumberFormat="1" applyFont="1" applyFill="1" applyBorder="1" applyAlignment="1">
      <alignment horizontal="center" vertical="center" wrapText="1"/>
    </xf>
    <xf numFmtId="170" fontId="0" fillId="0" borderId="0" xfId="11" applyNumberFormat="1" applyFont="1" applyBorder="1" applyAlignment="1">
      <alignment vertical="center"/>
    </xf>
    <xf numFmtId="0" fontId="0" fillId="0" borderId="31" xfId="11" applyFont="1" applyFill="1" applyBorder="1" applyAlignment="1">
      <alignment horizontal="center" vertical="center"/>
    </xf>
    <xf numFmtId="0" fontId="2" fillId="0" borderId="0" xfId="11" applyFont="1" applyFill="1" applyBorder="1" applyAlignment="1">
      <alignment horizontal="center" vertical="center"/>
    </xf>
    <xf numFmtId="0" fontId="0" fillId="0" borderId="31" xfId="11" applyFont="1" applyFill="1" applyBorder="1" applyAlignment="1">
      <alignment horizontal="right" vertical="center"/>
    </xf>
    <xf numFmtId="0" fontId="0" fillId="0" borderId="0" xfId="11" applyFont="1" applyFill="1" applyBorder="1" applyAlignment="1">
      <alignment horizontal="right" vertical="center"/>
    </xf>
    <xf numFmtId="166" fontId="21" fillId="0" borderId="0" xfId="12" applyNumberFormat="1" applyFont="1" applyBorder="1" applyAlignment="1">
      <alignment vertical="center"/>
    </xf>
    <xf numFmtId="10" fontId="1" fillId="0" borderId="0" xfId="11" applyNumberFormat="1" applyFont="1" applyFill="1" applyBorder="1" applyAlignment="1">
      <alignment vertical="center"/>
    </xf>
    <xf numFmtId="10" fontId="1" fillId="0" borderId="52" xfId="11" applyNumberFormat="1" applyFont="1" applyFill="1" applyBorder="1" applyAlignment="1">
      <alignment vertical="center"/>
    </xf>
    <xf numFmtId="10" fontId="0" fillId="0" borderId="52" xfId="12" applyNumberFormat="1" applyFont="1" applyBorder="1" applyAlignment="1">
      <alignment vertical="center"/>
    </xf>
    <xf numFmtId="0" fontId="18" fillId="0" borderId="32" xfId="11" applyFont="1" applyBorder="1"/>
    <xf numFmtId="0" fontId="0" fillId="0" borderId="0" xfId="0" applyAlignment="1">
      <alignment horizontal="center"/>
    </xf>
    <xf numFmtId="0" fontId="13" fillId="0" borderId="50" xfId="11" applyFont="1" applyFill="1" applyBorder="1" applyAlignment="1">
      <alignment horizontal="center" vertical="center"/>
    </xf>
    <xf numFmtId="0" fontId="18" fillId="0" borderId="83" xfId="11" applyFont="1" applyBorder="1"/>
    <xf numFmtId="10" fontId="0" fillId="0" borderId="41" xfId="12" applyNumberFormat="1" applyFont="1" applyBorder="1" applyAlignment="1">
      <alignment horizontal="center" vertical="center"/>
    </xf>
    <xf numFmtId="10" fontId="0" fillId="0" borderId="33" xfId="12" applyNumberFormat="1" applyFont="1" applyFill="1" applyBorder="1" applyAlignment="1" applyProtection="1">
      <alignment horizontal="center" vertical="center"/>
    </xf>
    <xf numFmtId="10" fontId="0" fillId="0" borderId="50" xfId="12" applyNumberFormat="1" applyFont="1" applyBorder="1" applyAlignment="1">
      <alignment horizontal="center" vertical="center"/>
    </xf>
    <xf numFmtId="10" fontId="0" fillId="0" borderId="32" xfId="12" applyNumberFormat="1" applyFont="1" applyBorder="1" applyAlignment="1">
      <alignment horizontal="center" vertical="center"/>
    </xf>
    <xf numFmtId="10" fontId="0" fillId="0" borderId="83" xfId="12" applyNumberFormat="1" applyFont="1" applyBorder="1" applyAlignment="1">
      <alignment horizontal="center" vertical="center"/>
    </xf>
    <xf numFmtId="10" fontId="0" fillId="0" borderId="84" xfId="12" applyNumberFormat="1" applyFont="1" applyBorder="1" applyAlignment="1">
      <alignment horizontal="center" vertical="center"/>
    </xf>
    <xf numFmtId="10" fontId="0" fillId="8" borderId="32" xfId="12" applyNumberFormat="1" applyFont="1" applyFill="1" applyBorder="1" applyAlignment="1">
      <alignment vertical="center"/>
    </xf>
    <xf numFmtId="10" fontId="0" fillId="0" borderId="32" xfId="12" applyNumberFormat="1" applyFont="1" applyBorder="1" applyAlignment="1">
      <alignment vertical="center"/>
    </xf>
    <xf numFmtId="10" fontId="0" fillId="0" borderId="81" xfId="12" applyNumberFormat="1" applyFont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31" xfId="0" applyFont="1" applyBorder="1" applyAlignment="1">
      <alignment horizontal="center" vertical="center"/>
    </xf>
    <xf numFmtId="0" fontId="2" fillId="0" borderId="31" xfId="4" applyFont="1" applyBorder="1"/>
    <xf numFmtId="0" fontId="5" fillId="3" borderId="46" xfId="13" applyFont="1" applyFill="1" applyBorder="1" applyAlignment="1">
      <alignment horizontal="center" vertical="center" wrapText="1"/>
    </xf>
    <xf numFmtId="173" fontId="6" fillId="0" borderId="85" xfId="5" applyNumberFormat="1" applyFont="1" applyFill="1" applyBorder="1" applyAlignment="1">
      <alignment horizontal="center" vertical="center" wrapText="1"/>
    </xf>
    <xf numFmtId="0" fontId="5" fillId="3" borderId="44" xfId="13" applyFont="1" applyFill="1" applyBorder="1" applyAlignment="1">
      <alignment horizontal="center" vertical="center" wrapText="1"/>
    </xf>
    <xf numFmtId="0" fontId="7" fillId="0" borderId="86" xfId="0" applyFont="1" applyBorder="1" applyAlignment="1">
      <alignment horizontal="center" vertical="center"/>
    </xf>
    <xf numFmtId="167" fontId="8" fillId="0" borderId="43" xfId="4" applyNumberFormat="1" applyFont="1" applyFill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167" fontId="8" fillId="0" borderId="88" xfId="9" applyNumberFormat="1" applyFont="1" applyFill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167" fontId="8" fillId="0" borderId="90" xfId="9" applyNumberFormat="1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167" fontId="8" fillId="4" borderId="41" xfId="9" applyNumberFormat="1" applyFont="1" applyFill="1" applyBorder="1" applyAlignment="1">
      <alignment horizontal="center" vertical="center"/>
    </xf>
    <xf numFmtId="0" fontId="7" fillId="4" borderId="68" xfId="0" applyFont="1" applyFill="1" applyBorder="1" applyAlignment="1">
      <alignment horizontal="center" vertical="center"/>
    </xf>
    <xf numFmtId="0" fontId="7" fillId="4" borderId="91" xfId="0" applyFont="1" applyFill="1" applyBorder="1" applyAlignment="1">
      <alignment horizontal="center" vertical="center"/>
    </xf>
    <xf numFmtId="0" fontId="9" fillId="2" borderId="91" xfId="13" applyFont="1" applyFill="1" applyBorder="1" applyAlignment="1">
      <alignment horizontal="center" vertical="center" wrapText="1"/>
    </xf>
    <xf numFmtId="167" fontId="8" fillId="4" borderId="50" xfId="9" applyNumberFormat="1" applyFont="1" applyFill="1" applyBorder="1" applyAlignment="1">
      <alignment horizontal="center" vertical="center"/>
    </xf>
    <xf numFmtId="0" fontId="23" fillId="10" borderId="9" xfId="13" applyFont="1" applyFill="1" applyBorder="1" applyAlignment="1">
      <alignment horizontal="center" vertical="center" wrapText="1"/>
    </xf>
    <xf numFmtId="0" fontId="23" fillId="10" borderId="9" xfId="13" applyFont="1" applyFill="1" applyBorder="1" applyAlignment="1">
      <alignment horizontal="left" vertical="center" wrapText="1"/>
    </xf>
    <xf numFmtId="175" fontId="23" fillId="10" borderId="9" xfId="3" applyNumberFormat="1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left" vertical="center" wrapText="1"/>
    </xf>
    <xf numFmtId="175" fontId="24" fillId="3" borderId="9" xfId="3" applyNumberFormat="1" applyFont="1" applyFill="1" applyBorder="1" applyAlignment="1">
      <alignment horizontal="center" vertical="center" wrapText="1"/>
    </xf>
    <xf numFmtId="2" fontId="24" fillId="3" borderId="9" xfId="3" applyNumberFormat="1" applyFont="1" applyFill="1" applyBorder="1" applyAlignment="1">
      <alignment horizontal="center" vertical="center" wrapText="1"/>
    </xf>
    <xf numFmtId="4" fontId="25" fillId="0" borderId="9" xfId="4" applyNumberFormat="1" applyFont="1" applyFill="1" applyBorder="1" applyAlignment="1">
      <alignment horizontal="right" vertical="center"/>
    </xf>
    <xf numFmtId="4" fontId="25" fillId="0" borderId="9" xfId="4" applyNumberFormat="1" applyFont="1" applyBorder="1" applyAlignment="1">
      <alignment horizontal="right" vertical="center"/>
    </xf>
    <xf numFmtId="4" fontId="25" fillId="8" borderId="9" xfId="4" applyNumberFormat="1" applyFont="1" applyFill="1" applyBorder="1" applyAlignment="1">
      <alignment horizontal="right" vertical="center"/>
    </xf>
    <xf numFmtId="4" fontId="26" fillId="11" borderId="9" xfId="4" applyNumberFormat="1" applyFont="1" applyFill="1" applyBorder="1" applyAlignment="1">
      <alignment horizontal="right" vertical="center"/>
    </xf>
    <xf numFmtId="0" fontId="24" fillId="12" borderId="9" xfId="13" applyFont="1" applyFill="1" applyBorder="1" applyAlignment="1">
      <alignment horizontal="center" vertical="center" wrapText="1"/>
    </xf>
    <xf numFmtId="4" fontId="24" fillId="3" borderId="9" xfId="13" applyNumberFormat="1" applyFont="1" applyFill="1" applyBorder="1" applyAlignment="1">
      <alignment horizontal="center" vertical="center" wrapText="1"/>
    </xf>
    <xf numFmtId="2" fontId="24" fillId="8" borderId="9" xfId="3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0" fontId="0" fillId="0" borderId="38" xfId="0" applyBorder="1" applyAlignment="1">
      <alignment horizontal="center"/>
    </xf>
    <xf numFmtId="0" fontId="0" fillId="0" borderId="51" xfId="0" applyBorder="1"/>
    <xf numFmtId="0" fontId="0" fillId="0" borderId="38" xfId="0" applyBorder="1"/>
    <xf numFmtId="165" fontId="24" fillId="3" borderId="9" xfId="13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47" fillId="0" borderId="0" xfId="4"/>
    <xf numFmtId="0" fontId="0" fillId="0" borderId="31" xfId="4" applyFont="1" applyBorder="1"/>
    <xf numFmtId="0" fontId="0" fillId="0" borderId="0" xfId="4" applyFont="1" applyBorder="1"/>
    <xf numFmtId="4" fontId="0" fillId="0" borderId="0" xfId="4" applyNumberFormat="1" applyFont="1" applyBorder="1"/>
    <xf numFmtId="0" fontId="47" fillId="0" borderId="0" xfId="4" applyBorder="1" applyAlignment="1">
      <alignment vertical="center"/>
    </xf>
    <xf numFmtId="0" fontId="47" fillId="0" borderId="0" xfId="4" applyBorder="1"/>
    <xf numFmtId="0" fontId="2" fillId="0" borderId="31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31" xfId="4" applyFont="1" applyBorder="1" applyAlignment="1">
      <alignment vertical="top"/>
    </xf>
    <xf numFmtId="0" fontId="2" fillId="0" borderId="0" xfId="4" applyFont="1" applyBorder="1" applyAlignment="1">
      <alignment wrapText="1"/>
    </xf>
    <xf numFmtId="0" fontId="28" fillId="0" borderId="31" xfId="4" applyFont="1" applyBorder="1" applyAlignment="1">
      <alignment horizontal="center" vertical="center"/>
    </xf>
    <xf numFmtId="0" fontId="28" fillId="0" borderId="0" xfId="4" applyFont="1" applyBorder="1" applyAlignment="1">
      <alignment horizontal="center" vertical="center"/>
    </xf>
    <xf numFmtId="0" fontId="29" fillId="0" borderId="31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29" fillId="0" borderId="31" xfId="4" applyFont="1" applyBorder="1"/>
    <xf numFmtId="0" fontId="29" fillId="0" borderId="0" xfId="4" applyFont="1" applyBorder="1"/>
    <xf numFmtId="2" fontId="30" fillId="8" borderId="0" xfId="4" applyNumberFormat="1" applyFont="1" applyFill="1" applyBorder="1"/>
    <xf numFmtId="2" fontId="29" fillId="8" borderId="0" xfId="4" applyNumberFormat="1" applyFont="1" applyFill="1" applyBorder="1"/>
    <xf numFmtId="2" fontId="30" fillId="0" borderId="93" xfId="4" applyNumberFormat="1" applyFont="1" applyBorder="1" applyAlignment="1">
      <alignment horizontal="center" vertical="center"/>
    </xf>
    <xf numFmtId="0" fontId="47" fillId="0" borderId="31" xfId="4" applyBorder="1"/>
    <xf numFmtId="2" fontId="29" fillId="0" borderId="0" xfId="4" applyNumberFormat="1" applyFont="1" applyBorder="1"/>
    <xf numFmtId="0" fontId="30" fillId="0" borderId="0" xfId="4" applyFont="1" applyBorder="1"/>
    <xf numFmtId="0" fontId="0" fillId="0" borderId="80" xfId="4" applyFont="1" applyBorder="1"/>
    <xf numFmtId="0" fontId="47" fillId="0" borderId="52" xfId="4" applyBorder="1"/>
    <xf numFmtId="0" fontId="0" fillId="0" borderId="52" xfId="4" applyFont="1" applyBorder="1"/>
    <xf numFmtId="0" fontId="47" fillId="0" borderId="32" xfId="4" applyBorder="1"/>
    <xf numFmtId="4" fontId="2" fillId="0" borderId="32" xfId="4" applyNumberFormat="1" applyFont="1" applyBorder="1"/>
    <xf numFmtId="0" fontId="47" fillId="0" borderId="81" xfId="4" applyBorder="1"/>
    <xf numFmtId="49" fontId="32" fillId="0" borderId="28" xfId="0" applyNumberFormat="1" applyFont="1" applyBorder="1" applyAlignment="1">
      <alignment vertical="top" wrapText="1"/>
    </xf>
    <xf numFmtId="49" fontId="32" fillId="0" borderId="31" xfId="0" applyNumberFormat="1" applyFont="1" applyBorder="1" applyAlignment="1">
      <alignment vertical="top" wrapText="1"/>
    </xf>
    <xf numFmtId="49" fontId="32" fillId="0" borderId="1" xfId="0" applyNumberFormat="1" applyFont="1" applyBorder="1" applyAlignment="1">
      <alignment vertical="top" wrapText="1"/>
    </xf>
    <xf numFmtId="0" fontId="0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0" fontId="2" fillId="0" borderId="9" xfId="4" applyFont="1" applyBorder="1" applyAlignment="1">
      <alignment horizontal="center" vertical="center"/>
    </xf>
    <xf numFmtId="0" fontId="2" fillId="0" borderId="9" xfId="4" applyFont="1" applyBorder="1" applyAlignment="1">
      <alignment vertical="center"/>
    </xf>
    <xf numFmtId="0" fontId="0" fillId="0" borderId="9" xfId="4" applyFont="1" applyBorder="1" applyAlignment="1">
      <alignment horizontal="center" vertical="center"/>
    </xf>
    <xf numFmtId="0" fontId="0" fillId="0" borderId="9" xfId="4" applyFont="1" applyBorder="1" applyAlignment="1">
      <alignment horizontal="left" vertical="center" wrapText="1"/>
    </xf>
    <xf numFmtId="170" fontId="0" fillId="8" borderId="9" xfId="1" applyFont="1" applyFill="1" applyBorder="1" applyAlignment="1">
      <alignment horizontal="right" vertical="center" wrapText="1"/>
    </xf>
    <xf numFmtId="4" fontId="0" fillId="8" borderId="9" xfId="4" applyNumberFormat="1" applyFont="1" applyFill="1" applyBorder="1" applyAlignment="1">
      <alignment horizontal="right" vertical="center"/>
    </xf>
    <xf numFmtId="0" fontId="2" fillId="0" borderId="9" xfId="4" applyFont="1" applyBorder="1" applyAlignment="1">
      <alignment horizontal="left" vertical="center" wrapText="1"/>
    </xf>
    <xf numFmtId="0" fontId="0" fillId="0" borderId="0" xfId="4" applyFont="1"/>
    <xf numFmtId="4" fontId="0" fillId="0" borderId="0" xfId="0" applyNumberFormat="1" applyAlignment="1">
      <alignment vertical="center"/>
    </xf>
    <xf numFmtId="0" fontId="0" fillId="13" borderId="0" xfId="4" applyFont="1" applyFill="1"/>
    <xf numFmtId="49" fontId="32" fillId="0" borderId="4" xfId="0" applyNumberFormat="1" applyFont="1" applyBorder="1" applyAlignment="1">
      <alignment vertical="top" wrapText="1"/>
    </xf>
    <xf numFmtId="49" fontId="15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70" fontId="16" fillId="8" borderId="9" xfId="1" applyFont="1" applyFill="1" applyBorder="1" applyAlignment="1">
      <alignment horizontal="center"/>
    </xf>
    <xf numFmtId="43" fontId="16" fillId="0" borderId="9" xfId="1" applyNumberFormat="1" applyFont="1" applyBorder="1" applyAlignment="1">
      <alignment horizontal="center" vertical="center"/>
    </xf>
    <xf numFmtId="43" fontId="0" fillId="0" borderId="0" xfId="0" applyNumberFormat="1"/>
    <xf numFmtId="0" fontId="1" fillId="0" borderId="9" xfId="0" applyFont="1" applyBorder="1" applyAlignment="1">
      <alignment horizontal="left" vertical="center"/>
    </xf>
    <xf numFmtId="170" fontId="0" fillId="0" borderId="9" xfId="1" applyFont="1" applyBorder="1" applyAlignment="1">
      <alignment horizontal="center"/>
    </xf>
    <xf numFmtId="10" fontId="1" fillId="4" borderId="9" xfId="2" applyNumberFormat="1" applyFont="1" applyFill="1" applyBorder="1" applyAlignment="1">
      <alignment horizontal="center"/>
    </xf>
    <xf numFmtId="43" fontId="16" fillId="0" borderId="41" xfId="1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170" fontId="0" fillId="8" borderId="13" xfId="1" applyFont="1" applyFill="1" applyBorder="1" applyAlignment="1"/>
    <xf numFmtId="49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left" vertical="center"/>
    </xf>
    <xf numFmtId="43" fontId="1" fillId="0" borderId="9" xfId="0" applyNumberFormat="1" applyFont="1" applyBorder="1" applyAlignment="1">
      <alignment horizontal="center"/>
    </xf>
    <xf numFmtId="43" fontId="1" fillId="0" borderId="9" xfId="0" applyNumberFormat="1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Border="1"/>
    <xf numFmtId="10" fontId="0" fillId="0" borderId="0" xfId="0" applyNumberFormat="1"/>
    <xf numFmtId="43" fontId="16" fillId="0" borderId="9" xfId="0" applyNumberFormat="1" applyFont="1" applyBorder="1" applyAlignment="1">
      <alignment horizontal="center"/>
    </xf>
    <xf numFmtId="170" fontId="0" fillId="8" borderId="26" xfId="1" applyFont="1" applyFill="1" applyBorder="1" applyAlignment="1"/>
    <xf numFmtId="0" fontId="0" fillId="0" borderId="26" xfId="0" applyBorder="1"/>
    <xf numFmtId="170" fontId="0" fillId="8" borderId="9" xfId="1" applyFont="1" applyFill="1" applyBorder="1" applyAlignment="1">
      <alignment horizontal="center"/>
    </xf>
    <xf numFmtId="10" fontId="1" fillId="4" borderId="41" xfId="2" applyNumberFormat="1" applyFont="1" applyFill="1" applyBorder="1" applyAlignment="1">
      <alignment horizontal="center"/>
    </xf>
    <xf numFmtId="0" fontId="0" fillId="7" borderId="0" xfId="4" applyFont="1" applyFill="1"/>
    <xf numFmtId="4" fontId="0" fillId="0" borderId="0" xfId="4" applyNumberFormat="1" applyFont="1"/>
    <xf numFmtId="49" fontId="3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0" fontId="2" fillId="0" borderId="0" xfId="0" applyNumberFormat="1" applyFont="1" applyBorder="1" applyAlignment="1">
      <alignment horizontal="left" wrapText="1"/>
    </xf>
    <xf numFmtId="0" fontId="1" fillId="0" borderId="0" xfId="4" applyNumberFormat="1" applyFont="1" applyBorder="1" applyAlignment="1">
      <alignment horizontal="justify" vertical="center" wrapText="1"/>
    </xf>
    <xf numFmtId="0" fontId="2" fillId="15" borderId="33" xfId="4" applyFont="1" applyFill="1" applyBorder="1" applyAlignment="1">
      <alignment horizontal="center" vertical="center" wrapText="1"/>
    </xf>
    <xf numFmtId="0" fontId="2" fillId="15" borderId="25" xfId="4" applyFont="1" applyFill="1" applyBorder="1" applyAlignment="1">
      <alignment horizontal="center" vertical="center" wrapText="1"/>
    </xf>
    <xf numFmtId="0" fontId="2" fillId="15" borderId="25" xfId="4" applyFont="1" applyFill="1" applyBorder="1" applyAlignment="1">
      <alignment vertical="center" wrapText="1"/>
    </xf>
    <xf numFmtId="0" fontId="2" fillId="15" borderId="9" xfId="4" applyFont="1" applyFill="1" applyBorder="1" applyAlignment="1">
      <alignment horizontal="center" vertical="center" wrapText="1"/>
    </xf>
    <xf numFmtId="4" fontId="2" fillId="15" borderId="9" xfId="4" applyNumberFormat="1" applyFont="1" applyFill="1" applyBorder="1" applyAlignment="1">
      <alignment horizontal="center" vertical="center" wrapText="1"/>
    </xf>
    <xf numFmtId="0" fontId="2" fillId="7" borderId="33" xfId="4" applyFont="1" applyFill="1" applyBorder="1" applyAlignment="1">
      <alignment horizontal="center" vertical="center"/>
    </xf>
    <xf numFmtId="0" fontId="2" fillId="7" borderId="26" xfId="4" applyFont="1" applyFill="1" applyBorder="1" applyAlignment="1">
      <alignment vertical="center"/>
    </xf>
    <xf numFmtId="0" fontId="2" fillId="7" borderId="25" xfId="4" applyFont="1" applyFill="1" applyBorder="1" applyAlignment="1">
      <alignment vertical="center"/>
    </xf>
    <xf numFmtId="0" fontId="0" fillId="0" borderId="33" xfId="4" applyFont="1" applyBorder="1" applyAlignment="1">
      <alignment horizontal="center" vertical="center"/>
    </xf>
    <xf numFmtId="0" fontId="0" fillId="0" borderId="27" xfId="4" applyFont="1" applyBorder="1" applyAlignment="1">
      <alignment horizontal="center" vertical="center"/>
    </xf>
    <xf numFmtId="0" fontId="39" fillId="8" borderId="9" xfId="4" applyFont="1" applyFill="1" applyBorder="1" applyAlignment="1">
      <alignment horizontal="center" vertical="center"/>
    </xf>
    <xf numFmtId="10" fontId="0" fillId="8" borderId="9" xfId="1" applyNumberFormat="1" applyFont="1" applyFill="1" applyBorder="1" applyAlignment="1">
      <alignment horizontal="center" vertical="center"/>
    </xf>
    <xf numFmtId="170" fontId="0" fillId="8" borderId="9" xfId="1" applyFont="1" applyFill="1" applyBorder="1" applyAlignment="1">
      <alignment horizontal="center" vertical="center"/>
    </xf>
    <xf numFmtId="0" fontId="2" fillId="7" borderId="27" xfId="4" applyFont="1" applyFill="1" applyBorder="1" applyAlignment="1">
      <alignment horizontal="center" vertical="center"/>
    </xf>
    <xf numFmtId="0" fontId="0" fillId="0" borderId="9" xfId="4" applyFont="1" applyBorder="1" applyAlignment="1">
      <alignment horizontal="left" vertical="center"/>
    </xf>
    <xf numFmtId="0" fontId="40" fillId="8" borderId="31" xfId="4" applyFont="1" applyFill="1" applyBorder="1" applyAlignment="1">
      <alignment horizontal="center" vertical="center"/>
    </xf>
    <xf numFmtId="0" fontId="40" fillId="8" borderId="0" xfId="4" applyFont="1" applyFill="1" applyBorder="1" applyAlignment="1">
      <alignment horizontal="center" vertical="center"/>
    </xf>
    <xf numFmtId="0" fontId="40" fillId="8" borderId="2" xfId="4" applyFont="1" applyFill="1" applyBorder="1" applyAlignment="1">
      <alignment horizontal="center" vertical="center"/>
    </xf>
    <xf numFmtId="10" fontId="0" fillId="0" borderId="0" xfId="4" applyNumberFormat="1" applyFont="1"/>
    <xf numFmtId="10" fontId="0" fillId="7" borderId="0" xfId="4" applyNumberFormat="1" applyFont="1" applyFill="1"/>
    <xf numFmtId="49" fontId="32" fillId="0" borderId="29" xfId="0" applyNumberFormat="1" applyFont="1" applyBorder="1" applyAlignment="1">
      <alignment vertical="top" wrapText="1"/>
    </xf>
    <xf numFmtId="0" fontId="2" fillId="0" borderId="31" xfId="0" applyFont="1" applyBorder="1" applyAlignment="1">
      <alignment vertical="top"/>
    </xf>
    <xf numFmtId="10" fontId="2" fillId="0" borderId="0" xfId="2" applyNumberFormat="1" applyFont="1" applyBorder="1" applyAlignment="1">
      <alignment horizontal="left" wrapText="1"/>
    </xf>
    <xf numFmtId="10" fontId="42" fillId="0" borderId="41" xfId="2" applyNumberFormat="1" applyFont="1" applyBorder="1" applyAlignment="1">
      <alignment horizontal="center" vertical="center"/>
    </xf>
    <xf numFmtId="4" fontId="2" fillId="15" borderId="41" xfId="4" applyNumberFormat="1" applyFont="1" applyFill="1" applyBorder="1" applyAlignment="1">
      <alignment horizontal="center" vertical="center" wrapText="1"/>
    </xf>
    <xf numFmtId="177" fontId="0" fillId="0" borderId="0" xfId="4" applyNumberFormat="1" applyFont="1"/>
    <xf numFmtId="0" fontId="0" fillId="0" borderId="40" xfId="4" applyFont="1" applyBorder="1" applyAlignment="1">
      <alignment horizontal="center" vertical="center"/>
    </xf>
    <xf numFmtId="0" fontId="0" fillId="0" borderId="26" xfId="4" applyFont="1" applyBorder="1" applyAlignment="1">
      <alignment horizontal="center" vertical="center"/>
    </xf>
    <xf numFmtId="177" fontId="0" fillId="0" borderId="0" xfId="4" applyNumberFormat="1" applyFont="1" applyAlignment="1">
      <alignment horizontal="right"/>
    </xf>
    <xf numFmtId="177" fontId="0" fillId="0" borderId="0" xfId="0" applyNumberFormat="1" applyBorder="1" applyAlignment="1">
      <alignment vertical="center"/>
    </xf>
    <xf numFmtId="177" fontId="2" fillId="0" borderId="0" xfId="0" applyNumberFormat="1" applyFont="1" applyBorder="1" applyAlignment="1">
      <alignment vertical="top"/>
    </xf>
    <xf numFmtId="177" fontId="1" fillId="0" borderId="0" xfId="4" applyNumberFormat="1" applyFont="1" applyBorder="1" applyAlignment="1">
      <alignment horizontal="justify" vertical="center" wrapText="1"/>
    </xf>
    <xf numFmtId="177" fontId="2" fillId="15" borderId="9" xfId="4" applyNumberFormat="1" applyFont="1" applyFill="1" applyBorder="1" applyAlignment="1">
      <alignment horizontal="center" vertical="center" wrapText="1"/>
    </xf>
    <xf numFmtId="177" fontId="0" fillId="8" borderId="9" xfId="4" applyNumberFormat="1" applyFont="1" applyFill="1" applyBorder="1" applyAlignment="1">
      <alignment horizontal="right" vertical="center"/>
    </xf>
    <xf numFmtId="0" fontId="2" fillId="13" borderId="33" xfId="4" applyFont="1" applyFill="1" applyBorder="1" applyAlignment="1">
      <alignment horizontal="center" vertical="center"/>
    </xf>
    <xf numFmtId="0" fontId="2" fillId="13" borderId="25" xfId="4" applyFont="1" applyFill="1" applyBorder="1" applyAlignment="1">
      <alignment vertical="center"/>
    </xf>
    <xf numFmtId="0" fontId="2" fillId="13" borderId="26" xfId="4" applyFont="1" applyFill="1" applyBorder="1" applyAlignment="1">
      <alignment vertical="center"/>
    </xf>
    <xf numFmtId="0" fontId="2" fillId="13" borderId="27" xfId="4" applyFont="1" applyFill="1" applyBorder="1" applyAlignment="1">
      <alignment vertical="center"/>
    </xf>
    <xf numFmtId="0" fontId="0" fillId="7" borderId="9" xfId="4" applyFont="1" applyFill="1" applyBorder="1"/>
    <xf numFmtId="177" fontId="0" fillId="0" borderId="0" xfId="0" applyNumberFormat="1" applyBorder="1"/>
    <xf numFmtId="177" fontId="2" fillId="0" borderId="0" xfId="0" applyNumberFormat="1" applyFont="1" applyBorder="1" applyAlignment="1">
      <alignment wrapText="1"/>
    </xf>
    <xf numFmtId="177" fontId="2" fillId="15" borderId="25" xfId="4" applyNumberFormat="1" applyFont="1" applyFill="1" applyBorder="1" applyAlignment="1">
      <alignment horizontal="center" vertical="center" wrapText="1"/>
    </xf>
    <xf numFmtId="177" fontId="0" fillId="0" borderId="25" xfId="4" applyNumberFormat="1" applyFont="1" applyBorder="1" applyAlignment="1">
      <alignment horizontal="right" vertical="center"/>
    </xf>
    <xf numFmtId="177" fontId="0" fillId="0" borderId="41" xfId="4" applyNumberFormat="1" applyFont="1" applyBorder="1" applyAlignment="1">
      <alignment horizontal="right" vertical="center"/>
    </xf>
    <xf numFmtId="177" fontId="43" fillId="4" borderId="25" xfId="4" applyNumberFormat="1" applyFont="1" applyFill="1" applyBorder="1" applyAlignment="1">
      <alignment horizontal="right" vertical="center"/>
    </xf>
    <xf numFmtId="177" fontId="43" fillId="4" borderId="41" xfId="4" applyNumberFormat="1" applyFont="1" applyFill="1" applyBorder="1" applyAlignment="1">
      <alignment horizontal="right" vertical="center"/>
    </xf>
    <xf numFmtId="0" fontId="0" fillId="7" borderId="41" xfId="4" applyFont="1" applyFill="1" applyBorder="1"/>
    <xf numFmtId="177" fontId="43" fillId="17" borderId="25" xfId="4" applyNumberFormat="1" applyFont="1" applyFill="1" applyBorder="1" applyAlignment="1">
      <alignment horizontal="right" vertical="center"/>
    </xf>
    <xf numFmtId="177" fontId="43" fillId="17" borderId="41" xfId="4" applyNumberFormat="1" applyFont="1" applyFill="1" applyBorder="1" applyAlignment="1">
      <alignment horizontal="right" vertical="center"/>
    </xf>
    <xf numFmtId="177" fontId="43" fillId="4" borderId="1" xfId="4" applyNumberFormat="1" applyFont="1" applyFill="1" applyBorder="1" applyAlignment="1">
      <alignment horizontal="right" vertical="center"/>
    </xf>
    <xf numFmtId="177" fontId="43" fillId="4" borderId="74" xfId="4" applyNumberFormat="1" applyFont="1" applyFill="1" applyBorder="1" applyAlignment="1">
      <alignment horizontal="right" vertical="center"/>
    </xf>
    <xf numFmtId="0" fontId="2" fillId="18" borderId="33" xfId="4" applyFont="1" applyFill="1" applyBorder="1" applyAlignment="1">
      <alignment horizontal="center" vertical="center"/>
    </xf>
    <xf numFmtId="0" fontId="2" fillId="18" borderId="25" xfId="4" applyFont="1" applyFill="1" applyBorder="1" applyAlignment="1">
      <alignment vertical="center"/>
    </xf>
    <xf numFmtId="0" fontId="2" fillId="18" borderId="26" xfId="4" applyFont="1" applyFill="1" applyBorder="1" applyAlignment="1">
      <alignment vertical="center"/>
    </xf>
    <xf numFmtId="0" fontId="2" fillId="18" borderId="27" xfId="4" applyFont="1" applyFill="1" applyBorder="1" applyAlignment="1">
      <alignment vertical="center"/>
    </xf>
    <xf numFmtId="0" fontId="39" fillId="8" borderId="26" xfId="4" applyFont="1" applyFill="1" applyBorder="1" applyAlignment="1">
      <alignment horizontal="center" vertical="center"/>
    </xf>
    <xf numFmtId="0" fontId="0" fillId="0" borderId="27" xfId="4" applyFont="1" applyBorder="1" applyAlignment="1">
      <alignment horizontal="left" vertical="center"/>
    </xf>
    <xf numFmtId="0" fontId="0" fillId="0" borderId="27" xfId="4" applyFont="1" applyBorder="1" applyAlignment="1">
      <alignment horizontal="left" vertical="center" wrapText="1"/>
    </xf>
    <xf numFmtId="177" fontId="40" fillId="8" borderId="2" xfId="4" applyNumberFormat="1" applyFont="1" applyFill="1" applyBorder="1" applyAlignment="1">
      <alignment horizontal="center" vertical="center"/>
    </xf>
    <xf numFmtId="177" fontId="43" fillId="19" borderId="25" xfId="4" applyNumberFormat="1" applyFont="1" applyFill="1" applyBorder="1" applyAlignment="1">
      <alignment horizontal="right" vertical="center"/>
    </xf>
    <xf numFmtId="177" fontId="43" fillId="19" borderId="41" xfId="4" applyNumberFormat="1" applyFont="1" applyFill="1" applyBorder="1" applyAlignment="1">
      <alignment horizontal="right" vertical="center"/>
    </xf>
    <xf numFmtId="0" fontId="0" fillId="0" borderId="41" xfId="4" applyFont="1" applyBorder="1"/>
    <xf numFmtId="177" fontId="35" fillId="16" borderId="62" xfId="4" applyNumberFormat="1" applyFont="1" applyFill="1" applyBorder="1" applyAlignment="1">
      <alignment horizontal="right" vertical="center"/>
    </xf>
    <xf numFmtId="177" fontId="35" fillId="16" borderId="50" xfId="4" applyNumberFormat="1" applyFont="1" applyFill="1" applyBorder="1" applyAlignment="1">
      <alignment horizontal="right" vertical="center"/>
    </xf>
    <xf numFmtId="0" fontId="0" fillId="0" borderId="33" xfId="4" applyFont="1" applyBorder="1" applyAlignment="1">
      <alignment horizontal="center" vertical="center"/>
    </xf>
    <xf numFmtId="172" fontId="6" fillId="8" borderId="16" xfId="5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0" fontId="48" fillId="9" borderId="41" xfId="12" applyNumberFormat="1" applyFont="1" applyFill="1" applyBorder="1" applyAlignment="1" applyProtection="1">
      <alignment horizontal="center" vertical="center"/>
      <protection locked="0"/>
    </xf>
    <xf numFmtId="49" fontId="38" fillId="0" borderId="29" xfId="0" applyNumberFormat="1" applyFont="1" applyBorder="1" applyAlignment="1">
      <alignment horizontal="left" vertical="top" wrapText="1"/>
    </xf>
    <xf numFmtId="177" fontId="38" fillId="0" borderId="29" xfId="0" applyNumberFormat="1" applyFont="1" applyBorder="1" applyAlignment="1">
      <alignment horizontal="left" vertical="top" wrapText="1"/>
    </xf>
    <xf numFmtId="49" fontId="38" fillId="0" borderId="0" xfId="0" applyNumberFormat="1" applyFont="1" applyBorder="1" applyAlignment="1">
      <alignment horizontal="left" vertical="top" wrapText="1"/>
    </xf>
    <xf numFmtId="177" fontId="38" fillId="0" borderId="0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177" fontId="2" fillId="0" borderId="9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35" fillId="0" borderId="40" xfId="4" applyFont="1" applyBorder="1" applyAlignment="1">
      <alignment horizontal="center" vertical="center"/>
    </xf>
    <xf numFmtId="0" fontId="35" fillId="0" borderId="26" xfId="4" applyFont="1" applyBorder="1" applyAlignment="1">
      <alignment horizontal="center" vertical="center"/>
    </xf>
    <xf numFmtId="177" fontId="35" fillId="0" borderId="26" xfId="4" applyNumberFormat="1" applyFont="1" applyBorder="1" applyAlignment="1">
      <alignment horizontal="center" vertical="center"/>
    </xf>
    <xf numFmtId="177" fontId="35" fillId="0" borderId="27" xfId="4" applyNumberFormat="1" applyFont="1" applyBorder="1" applyAlignment="1">
      <alignment horizontal="center" vertical="center"/>
    </xf>
    <xf numFmtId="0" fontId="0" fillId="7" borderId="25" xfId="4" applyFont="1" applyFill="1" applyBorder="1" applyAlignment="1">
      <alignment horizontal="center" vertical="center"/>
    </xf>
    <xf numFmtId="0" fontId="0" fillId="7" borderId="26" xfId="4" applyFont="1" applyFill="1" applyBorder="1" applyAlignment="1">
      <alignment horizontal="center" vertical="center"/>
    </xf>
    <xf numFmtId="0" fontId="0" fillId="7" borderId="34" xfId="4" applyFont="1" applyFill="1" applyBorder="1" applyAlignment="1">
      <alignment horizontal="center" vertical="center"/>
    </xf>
    <xf numFmtId="0" fontId="0" fillId="0" borderId="3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4" fontId="3" fillId="0" borderId="9" xfId="4" applyNumberFormat="1" applyFont="1" applyFill="1" applyBorder="1" applyAlignment="1">
      <alignment horizontal="center" vertical="center"/>
    </xf>
    <xf numFmtId="177" fontId="3" fillId="0" borderId="9" xfId="4" applyNumberFormat="1" applyFont="1" applyFill="1" applyBorder="1" applyAlignment="1">
      <alignment horizontal="center" vertical="center"/>
    </xf>
    <xf numFmtId="0" fontId="0" fillId="13" borderId="25" xfId="4" applyFont="1" applyFill="1" applyBorder="1" applyAlignment="1">
      <alignment horizontal="center" vertical="center"/>
    </xf>
    <xf numFmtId="0" fontId="0" fillId="13" borderId="26" xfId="4" applyFont="1" applyFill="1" applyBorder="1" applyAlignment="1">
      <alignment horizontal="center" vertical="center"/>
    </xf>
    <xf numFmtId="0" fontId="0" fillId="13" borderId="34" xfId="4" applyFont="1" applyFill="1" applyBorder="1" applyAlignment="1">
      <alignment horizontal="center" vertical="center"/>
    </xf>
    <xf numFmtId="0" fontId="40" fillId="0" borderId="35" xfId="4" applyFont="1" applyBorder="1" applyAlignment="1">
      <alignment horizontal="center" vertical="center"/>
    </xf>
    <xf numFmtId="0" fontId="40" fillId="0" borderId="2" xfId="4" applyFont="1" applyBorder="1" applyAlignment="1">
      <alignment horizontal="center" vertical="center"/>
    </xf>
    <xf numFmtId="0" fontId="0" fillId="0" borderId="80" xfId="4" applyFont="1" applyBorder="1" applyAlignment="1">
      <alignment horizontal="center" vertical="center"/>
    </xf>
    <xf numFmtId="0" fontId="0" fillId="0" borderId="52" xfId="4" applyFont="1" applyBorder="1" applyAlignment="1">
      <alignment horizontal="center" vertical="center"/>
    </xf>
    <xf numFmtId="49" fontId="41" fillId="0" borderId="83" xfId="0" applyNumberFormat="1" applyFont="1" applyBorder="1" applyAlignment="1">
      <alignment horizontal="center" vertical="center" wrapText="1"/>
    </xf>
    <xf numFmtId="49" fontId="41" fillId="0" borderId="41" xfId="0" applyNumberFormat="1" applyFont="1" applyBorder="1" applyAlignment="1">
      <alignment horizontal="center" vertical="center" wrapText="1"/>
    </xf>
    <xf numFmtId="0" fontId="0" fillId="18" borderId="25" xfId="4" applyFont="1" applyFill="1" applyBorder="1" applyAlignment="1">
      <alignment horizontal="center" vertical="center"/>
    </xf>
    <xf numFmtId="0" fontId="0" fillId="18" borderId="26" xfId="4" applyFont="1" applyFill="1" applyBorder="1" applyAlignment="1">
      <alignment horizontal="center" vertical="center"/>
    </xf>
    <xf numFmtId="0" fontId="0" fillId="18" borderId="34" xfId="4" applyFont="1" applyFill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top" wrapText="1"/>
    </xf>
    <xf numFmtId="0" fontId="2" fillId="0" borderId="4" xfId="4" applyFont="1" applyBorder="1" applyAlignment="1">
      <alignment horizontal="center" vertical="top" wrapText="1"/>
    </xf>
    <xf numFmtId="0" fontId="2" fillId="0" borderId="0" xfId="4" applyFont="1" applyBorder="1" applyAlignment="1">
      <alignment horizontal="center" vertical="top" wrapText="1"/>
    </xf>
    <xf numFmtId="0" fontId="14" fillId="14" borderId="4" xfId="0" applyFont="1" applyFill="1" applyBorder="1" applyAlignment="1">
      <alignment horizontal="center" vertical="center"/>
    </xf>
    <xf numFmtId="0" fontId="14" fillId="14" borderId="0" xfId="0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43" fontId="1" fillId="0" borderId="13" xfId="0" applyNumberFormat="1" applyFont="1" applyBorder="1" applyAlignment="1">
      <alignment horizontal="center"/>
    </xf>
    <xf numFmtId="43" fontId="1" fillId="0" borderId="16" xfId="0" applyNumberFormat="1" applyFont="1" applyBorder="1" applyAlignment="1">
      <alignment horizontal="center"/>
    </xf>
    <xf numFmtId="43" fontId="1" fillId="0" borderId="14" xfId="0" applyNumberFormat="1" applyFont="1" applyBorder="1" applyAlignment="1">
      <alignment horizontal="center"/>
    </xf>
    <xf numFmtId="49" fontId="33" fillId="0" borderId="29" xfId="0" applyNumberFormat="1" applyFont="1" applyBorder="1" applyAlignment="1">
      <alignment horizontal="center" vertical="top" wrapText="1"/>
    </xf>
    <xf numFmtId="49" fontId="33" fillId="0" borderId="30" xfId="0" applyNumberFormat="1" applyFont="1" applyBorder="1" applyAlignment="1">
      <alignment horizontal="center" vertical="top" wrapText="1"/>
    </xf>
    <xf numFmtId="49" fontId="33" fillId="0" borderId="0" xfId="0" applyNumberFormat="1" applyFont="1" applyBorder="1" applyAlignment="1">
      <alignment horizontal="center" vertical="top" wrapText="1"/>
    </xf>
    <xf numFmtId="49" fontId="33" fillId="0" borderId="3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6" fillId="9" borderId="92" xfId="4" applyFont="1" applyFill="1" applyBorder="1" applyAlignment="1">
      <alignment horizontal="center" vertical="center"/>
    </xf>
    <xf numFmtId="0" fontId="0" fillId="0" borderId="9" xfId="4" applyFont="1" applyFill="1" applyBorder="1" applyAlignment="1">
      <alignment horizontal="center" vertical="center"/>
    </xf>
    <xf numFmtId="0" fontId="37" fillId="9" borderId="9" xfId="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/>
    </xf>
    <xf numFmtId="0" fontId="14" fillId="0" borderId="3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4" fontId="1" fillId="0" borderId="53" xfId="4" applyNumberFormat="1" applyFont="1" applyBorder="1" applyAlignment="1">
      <alignment horizontal="center" vertical="center"/>
    </xf>
    <xf numFmtId="4" fontId="1" fillId="0" borderId="55" xfId="4" applyNumberFormat="1" applyFont="1" applyBorder="1" applyAlignment="1">
      <alignment horizontal="center" vertical="center"/>
    </xf>
    <xf numFmtId="0" fontId="27" fillId="0" borderId="31" xfId="4" applyFont="1" applyBorder="1" applyAlignment="1">
      <alignment horizontal="center" vertical="center" wrapText="1"/>
    </xf>
    <xf numFmtId="0" fontId="27" fillId="0" borderId="0" xfId="4" applyFont="1" applyBorder="1" applyAlignment="1">
      <alignment horizontal="center" vertical="center" wrapText="1"/>
    </xf>
    <xf numFmtId="0" fontId="27" fillId="0" borderId="32" xfId="4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wrapText="1"/>
    </xf>
    <xf numFmtId="0" fontId="0" fillId="0" borderId="27" xfId="4" applyFont="1" applyBorder="1" applyAlignment="1">
      <alignment horizontal="center" vertical="center"/>
    </xf>
    <xf numFmtId="0" fontId="0" fillId="0" borderId="73" xfId="4" applyFont="1" applyBorder="1" applyAlignment="1">
      <alignment horizontal="center" vertical="center"/>
    </xf>
    <xf numFmtId="4" fontId="1" fillId="0" borderId="49" xfId="4" applyNumberFormat="1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26" xfId="4" applyFont="1" applyBorder="1" applyAlignment="1">
      <alignment horizontal="center" vertical="center"/>
    </xf>
    <xf numFmtId="0" fontId="40" fillId="0" borderId="3" xfId="4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7" borderId="9" xfId="4" applyFont="1" applyFill="1" applyBorder="1" applyAlignment="1">
      <alignment horizontal="center" vertical="center"/>
    </xf>
    <xf numFmtId="177" fontId="0" fillId="7" borderId="9" xfId="4" applyNumberFormat="1" applyFont="1" applyFill="1" applyBorder="1" applyAlignment="1">
      <alignment horizontal="center" vertical="center"/>
    </xf>
    <xf numFmtId="177" fontId="0" fillId="7" borderId="25" xfId="4" applyNumberFormat="1" applyFont="1" applyFill="1" applyBorder="1" applyAlignment="1">
      <alignment horizontal="center" vertical="center"/>
    </xf>
    <xf numFmtId="4" fontId="3" fillId="0" borderId="13" xfId="4" applyNumberFormat="1" applyFont="1" applyFill="1" applyBorder="1" applyAlignment="1">
      <alignment horizontal="center" vertical="center"/>
    </xf>
    <xf numFmtId="177" fontId="3" fillId="0" borderId="13" xfId="4" applyNumberFormat="1" applyFont="1" applyFill="1" applyBorder="1" applyAlignment="1">
      <alignment horizontal="center" vertical="center"/>
    </xf>
    <xf numFmtId="0" fontId="0" fillId="7" borderId="51" xfId="4" applyFont="1" applyFill="1" applyBorder="1" applyAlignment="1">
      <alignment horizontal="center" vertical="center"/>
    </xf>
    <xf numFmtId="0" fontId="0" fillId="7" borderId="38" xfId="4" applyFont="1" applyFill="1" applyBorder="1" applyAlignment="1">
      <alignment horizontal="center" vertical="center"/>
    </xf>
    <xf numFmtId="0" fontId="0" fillId="7" borderId="39" xfId="4" applyFont="1" applyFill="1" applyBorder="1" applyAlignment="1">
      <alignment horizontal="center" vertical="center"/>
    </xf>
    <xf numFmtId="0" fontId="40" fillId="7" borderId="25" xfId="4" applyFont="1" applyFill="1" applyBorder="1" applyAlignment="1">
      <alignment horizontal="center" vertical="center"/>
    </xf>
    <xf numFmtId="0" fontId="40" fillId="7" borderId="26" xfId="4" applyFont="1" applyFill="1" applyBorder="1" applyAlignment="1">
      <alignment horizontal="center" vertical="center"/>
    </xf>
    <xf numFmtId="0" fontId="40" fillId="7" borderId="34" xfId="4" applyFont="1" applyFill="1" applyBorder="1" applyAlignment="1">
      <alignment horizontal="center" vertical="center"/>
    </xf>
    <xf numFmtId="177" fontId="1" fillId="0" borderId="49" xfId="4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5" fillId="0" borderId="25" xfId="4" applyFont="1" applyBorder="1" applyAlignment="1">
      <alignment horizontal="right" vertical="center"/>
    </xf>
    <xf numFmtId="0" fontId="25" fillId="0" borderId="26" xfId="4" applyFont="1" applyBorder="1" applyAlignment="1">
      <alignment horizontal="right" vertical="center"/>
    </xf>
    <xf numFmtId="0" fontId="25" fillId="0" borderId="27" xfId="4" applyFont="1" applyBorder="1" applyAlignment="1">
      <alignment horizontal="right" vertical="center"/>
    </xf>
    <xf numFmtId="10" fontId="25" fillId="0" borderId="25" xfId="4" applyNumberFormat="1" applyFont="1" applyBorder="1" applyAlignment="1">
      <alignment horizontal="right" vertical="center"/>
    </xf>
    <xf numFmtId="0" fontId="0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/>
    </xf>
    <xf numFmtId="10" fontId="3" fillId="0" borderId="4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8" fillId="0" borderId="18" xfId="4" applyFont="1" applyBorder="1" applyAlignment="1">
      <alignment horizontal="right" vertical="center"/>
    </xf>
    <xf numFmtId="0" fontId="8" fillId="0" borderId="19" xfId="4" applyFont="1" applyBorder="1" applyAlignment="1">
      <alignment horizontal="right" vertical="center"/>
    </xf>
    <xf numFmtId="0" fontId="8" fillId="4" borderId="26" xfId="9" applyFont="1" applyFill="1" applyBorder="1" applyAlignment="1">
      <alignment horizontal="right" vertical="center"/>
    </xf>
    <xf numFmtId="0" fontId="8" fillId="4" borderId="27" xfId="9" applyFont="1" applyFill="1" applyBorder="1" applyAlignment="1">
      <alignment horizontal="right" vertical="center"/>
    </xf>
    <xf numFmtId="0" fontId="4" fillId="2" borderId="13" xfId="13" applyFont="1" applyFill="1" applyBorder="1" applyAlignment="1">
      <alignment horizontal="center" vertical="center" wrapText="1"/>
    </xf>
    <xf numFmtId="0" fontId="4" fillId="2" borderId="14" xfId="13" applyFont="1" applyFill="1" applyBorder="1" applyAlignment="1">
      <alignment horizontal="center" vertical="center" wrapText="1"/>
    </xf>
    <xf numFmtId="172" fontId="4" fillId="2" borderId="13" xfId="5" applyNumberFormat="1" applyFont="1" applyFill="1" applyBorder="1" applyAlignment="1">
      <alignment horizontal="center" vertical="center" wrapText="1"/>
    </xf>
    <xf numFmtId="172" fontId="4" fillId="2" borderId="14" xfId="5" applyNumberFormat="1" applyFont="1" applyFill="1" applyBorder="1" applyAlignment="1">
      <alignment horizontal="center" vertical="center" wrapText="1"/>
    </xf>
    <xf numFmtId="0" fontId="8" fillId="4" borderId="91" xfId="9" applyFont="1" applyFill="1" applyBorder="1" applyAlignment="1">
      <alignment horizontal="right" vertical="center"/>
    </xf>
    <xf numFmtId="0" fontId="8" fillId="4" borderId="63" xfId="9" applyFont="1" applyFill="1" applyBorder="1" applyAlignment="1">
      <alignment horizontal="right" vertical="center"/>
    </xf>
    <xf numFmtId="0" fontId="4" fillId="2" borderId="71" xfId="13" applyFont="1" applyFill="1" applyBorder="1" applyAlignment="1">
      <alignment horizontal="center" vertical="center" wrapText="1"/>
    </xf>
    <xf numFmtId="0" fontId="4" fillId="2" borderId="75" xfId="13" applyFont="1" applyFill="1" applyBorder="1" applyAlignment="1">
      <alignment horizontal="center" vertical="center" wrapText="1"/>
    </xf>
    <xf numFmtId="0" fontId="4" fillId="2" borderId="14" xfId="13" applyFont="1" applyFill="1" applyBorder="1" applyAlignment="1">
      <alignment horizontal="justify" vertical="center" wrapText="1"/>
    </xf>
    <xf numFmtId="0" fontId="4" fillId="2" borderId="13" xfId="13" applyFont="1" applyFill="1" applyBorder="1" applyAlignment="1">
      <alignment horizontal="justify" vertical="center" wrapText="1"/>
    </xf>
    <xf numFmtId="0" fontId="4" fillId="2" borderId="13" xfId="13" applyFont="1" applyFill="1" applyBorder="1" applyAlignment="1">
      <alignment horizontal="left" vertical="center" wrapText="1"/>
    </xf>
    <xf numFmtId="0" fontId="4" fillId="2" borderId="14" xfId="13" applyFont="1" applyFill="1" applyBorder="1" applyAlignment="1">
      <alignment horizontal="left" vertical="center" wrapText="1"/>
    </xf>
    <xf numFmtId="172" fontId="4" fillId="2" borderId="74" xfId="5" applyNumberFormat="1" applyFont="1" applyFill="1" applyBorder="1" applyAlignment="1">
      <alignment horizontal="center" vertical="center" wrapText="1"/>
    </xf>
    <xf numFmtId="172" fontId="4" fillId="2" borderId="76" xfId="5" applyNumberFormat="1" applyFont="1" applyFill="1" applyBorder="1" applyAlignment="1">
      <alignment horizontal="center" vertical="center" wrapText="1"/>
    </xf>
    <xf numFmtId="0" fontId="50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6" fillId="0" borderId="52" xfId="0" applyFont="1" applyBorder="1" applyAlignment="1">
      <alignment horizontal="left" vertical="center" wrapText="1"/>
    </xf>
    <xf numFmtId="0" fontId="16" fillId="0" borderId="81" xfId="0" applyFont="1" applyBorder="1" applyAlignment="1">
      <alignment horizontal="left" vertical="center" wrapText="1"/>
    </xf>
    <xf numFmtId="49" fontId="3" fillId="7" borderId="53" xfId="11" applyNumberFormat="1" applyFont="1" applyFill="1" applyBorder="1" applyAlignment="1">
      <alignment horizontal="center" vertical="center"/>
    </xf>
    <xf numFmtId="49" fontId="3" fillId="7" borderId="54" xfId="11" applyNumberFormat="1" applyFont="1" applyFill="1" applyBorder="1" applyAlignment="1">
      <alignment horizontal="center" vertical="center"/>
    </xf>
    <xf numFmtId="49" fontId="3" fillId="7" borderId="55" xfId="1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49" fillId="7" borderId="53" xfId="11" applyNumberFormat="1" applyFont="1" applyFill="1" applyBorder="1" applyAlignment="1">
      <alignment horizontal="center" vertical="center"/>
    </xf>
    <xf numFmtId="0" fontId="13" fillId="8" borderId="62" xfId="11" applyFont="1" applyFill="1" applyBorder="1" applyAlignment="1">
      <alignment horizontal="center" vertical="center"/>
    </xf>
    <xf numFmtId="0" fontId="13" fillId="8" borderId="63" xfId="11" applyFont="1" applyFill="1" applyBorder="1" applyAlignment="1">
      <alignment horizontal="center" vertical="center"/>
    </xf>
    <xf numFmtId="0" fontId="0" fillId="0" borderId="53" xfId="11" applyFont="1" applyBorder="1" applyAlignment="1">
      <alignment vertical="center"/>
    </xf>
    <xf numFmtId="0" fontId="0" fillId="0" borderId="54" xfId="11" applyFont="1" applyBorder="1" applyAlignment="1">
      <alignment vertical="center"/>
    </xf>
    <xf numFmtId="0" fontId="2" fillId="0" borderId="65" xfId="11" applyFont="1" applyFill="1" applyBorder="1" applyAlignment="1">
      <alignment horizontal="justify" vertical="center" wrapText="1"/>
    </xf>
    <xf numFmtId="0" fontId="2" fillId="0" borderId="66" xfId="11" applyFont="1" applyFill="1" applyBorder="1" applyAlignment="1">
      <alignment horizontal="justify" vertical="center" wrapText="1"/>
    </xf>
    <xf numFmtId="0" fontId="18" fillId="0" borderId="65" xfId="11" applyFont="1" applyBorder="1" applyAlignment="1">
      <alignment horizontal="center"/>
    </xf>
    <xf numFmtId="0" fontId="18" fillId="0" borderId="67" xfId="11" applyFont="1" applyBorder="1" applyAlignment="1">
      <alignment horizontal="center"/>
    </xf>
    <xf numFmtId="10" fontId="0" fillId="0" borderId="25" xfId="12" applyNumberFormat="1" applyFont="1" applyBorder="1" applyAlignment="1">
      <alignment horizontal="center" vertical="center"/>
    </xf>
    <xf numFmtId="10" fontId="0" fillId="0" borderId="27" xfId="12" applyNumberFormat="1" applyFont="1" applyBorder="1" applyAlignment="1">
      <alignment horizontal="center" vertical="center"/>
    </xf>
    <xf numFmtId="0" fontId="2" fillId="0" borderId="68" xfId="11" applyFont="1" applyFill="1" applyBorder="1" applyAlignment="1">
      <alignment horizontal="right" vertical="center"/>
    </xf>
    <xf numFmtId="0" fontId="2" fillId="0" borderId="63" xfId="11" applyFont="1" applyFill="1" applyBorder="1" applyAlignment="1">
      <alignment horizontal="right" vertical="center"/>
    </xf>
    <xf numFmtId="10" fontId="0" fillId="0" borderId="62" xfId="12" applyNumberFormat="1" applyFont="1" applyBorder="1" applyAlignment="1">
      <alignment horizontal="center" vertical="center"/>
    </xf>
    <xf numFmtId="10" fontId="0" fillId="0" borderId="63" xfId="12" applyNumberFormat="1" applyFont="1" applyBorder="1" applyAlignment="1">
      <alignment horizontal="center" vertical="center"/>
    </xf>
    <xf numFmtId="0" fontId="0" fillId="0" borderId="53" xfId="11" applyFont="1" applyBorder="1" applyAlignment="1">
      <alignment horizontal="center" vertical="center"/>
    </xf>
    <xf numFmtId="0" fontId="0" fillId="0" borderId="54" xfId="11" applyFont="1" applyBorder="1" applyAlignment="1">
      <alignment horizontal="center" vertical="center"/>
    </xf>
    <xf numFmtId="10" fontId="0" fillId="0" borderId="65" xfId="12" applyNumberFormat="1" applyFont="1" applyBorder="1" applyAlignment="1">
      <alignment horizontal="center" vertical="center"/>
    </xf>
    <xf numFmtId="10" fontId="0" fillId="0" borderId="67" xfId="12" applyNumberFormat="1" applyFont="1" applyBorder="1" applyAlignment="1">
      <alignment horizontal="center" vertical="center"/>
    </xf>
    <xf numFmtId="49" fontId="13" fillId="7" borderId="69" xfId="11" applyNumberFormat="1" applyFont="1" applyFill="1" applyBorder="1" applyAlignment="1">
      <alignment horizontal="center" vertical="center" wrapText="1"/>
    </xf>
    <xf numFmtId="49" fontId="13" fillId="7" borderId="70" xfId="11" applyNumberFormat="1" applyFont="1" applyFill="1" applyBorder="1" applyAlignment="1">
      <alignment horizontal="center" vertical="center" wrapText="1"/>
    </xf>
    <xf numFmtId="49" fontId="13" fillId="7" borderId="66" xfId="11" applyNumberFormat="1" applyFont="1" applyFill="1" applyBorder="1" applyAlignment="1">
      <alignment horizontal="center" vertical="center" wrapText="1"/>
    </xf>
    <xf numFmtId="10" fontId="0" fillId="0" borderId="78" xfId="12" applyNumberFormat="1" applyFont="1" applyBorder="1" applyAlignment="1">
      <alignment horizontal="center" vertical="center"/>
    </xf>
    <xf numFmtId="10" fontId="0" fillId="0" borderId="79" xfId="12" applyNumberFormat="1" applyFont="1" applyBorder="1" applyAlignment="1">
      <alignment horizontal="center" vertical="center"/>
    </xf>
    <xf numFmtId="10" fontId="22" fillId="7" borderId="13" xfId="11" applyNumberFormat="1" applyFont="1" applyFill="1" applyBorder="1" applyAlignment="1">
      <alignment horizontal="center" vertical="center"/>
    </xf>
    <xf numFmtId="10" fontId="22" fillId="7" borderId="60" xfId="11" applyNumberFormat="1" applyFont="1" applyFill="1" applyBorder="1" applyAlignment="1">
      <alignment horizontal="center" vertical="center"/>
    </xf>
    <xf numFmtId="10" fontId="19" fillId="0" borderId="71" xfId="12" applyNumberFormat="1" applyFont="1" applyBorder="1" applyAlignment="1">
      <alignment horizontal="center" vertical="center" wrapText="1"/>
    </xf>
    <xf numFmtId="10" fontId="19" fillId="0" borderId="59" xfId="12" applyNumberFormat="1" applyFont="1" applyBorder="1" applyAlignment="1">
      <alignment horizontal="center" vertical="center" wrapText="1"/>
    </xf>
    <xf numFmtId="0" fontId="20" fillId="0" borderId="74" xfId="11" applyFont="1" applyBorder="1" applyAlignment="1">
      <alignment horizontal="center" vertical="center" wrapText="1"/>
    </xf>
    <xf numFmtId="0" fontId="20" fillId="0" borderId="61" xfId="11" applyFont="1" applyBorder="1" applyAlignment="1">
      <alignment horizontal="center" vertical="center" wrapText="1"/>
    </xf>
    <xf numFmtId="49" fontId="13" fillId="7" borderId="28" xfId="11" applyNumberFormat="1" applyFont="1" applyFill="1" applyBorder="1" applyAlignment="1">
      <alignment horizontal="center" vertical="center" wrapText="1"/>
    </xf>
    <xf numFmtId="49" fontId="13" fillId="7" borderId="29" xfId="11" applyNumberFormat="1" applyFont="1" applyFill="1" applyBorder="1" applyAlignment="1">
      <alignment horizontal="center" vertical="center" wrapText="1"/>
    </xf>
    <xf numFmtId="49" fontId="13" fillId="7" borderId="30" xfId="11" applyNumberFormat="1" applyFont="1" applyFill="1" applyBorder="1" applyAlignment="1">
      <alignment horizontal="center" vertical="center" wrapText="1"/>
    </xf>
    <xf numFmtId="49" fontId="13" fillId="7" borderId="37" xfId="11" applyNumberFormat="1" applyFont="1" applyFill="1" applyBorder="1" applyAlignment="1">
      <alignment horizontal="center" vertical="center" wrapText="1"/>
    </xf>
    <xf numFmtId="49" fontId="13" fillId="7" borderId="38" xfId="11" applyNumberFormat="1" applyFont="1" applyFill="1" applyBorder="1" applyAlignment="1">
      <alignment horizontal="center" vertical="center" wrapText="1"/>
    </xf>
    <xf numFmtId="49" fontId="13" fillId="7" borderId="39" xfId="11" applyNumberFormat="1" applyFont="1" applyFill="1" applyBorder="1" applyAlignment="1">
      <alignment horizontal="center" vertical="center" wrapText="1"/>
    </xf>
    <xf numFmtId="0" fontId="20" fillId="0" borderId="1" xfId="11" applyFont="1" applyBorder="1" applyAlignment="1">
      <alignment horizontal="center" vertical="center" wrapText="1"/>
    </xf>
    <xf numFmtId="0" fontId="20" fillId="0" borderId="3" xfId="11" applyFont="1" applyBorder="1" applyAlignment="1">
      <alignment horizontal="center" vertical="center" wrapText="1"/>
    </xf>
    <xf numFmtId="0" fontId="20" fillId="0" borderId="72" xfId="11" applyFont="1" applyBorder="1" applyAlignment="1">
      <alignment horizontal="center" vertical="center" wrapText="1"/>
    </xf>
    <xf numFmtId="0" fontId="20" fillId="0" borderId="73" xfId="11" applyFont="1" applyBorder="1" applyAlignment="1">
      <alignment horizontal="center" vertical="center" wrapText="1"/>
    </xf>
    <xf numFmtId="0" fontId="2" fillId="0" borderId="28" xfId="11" applyFont="1" applyFill="1" applyBorder="1" applyAlignment="1">
      <alignment horizontal="center" vertical="center"/>
    </xf>
    <xf numFmtId="0" fontId="2" fillId="0" borderId="29" xfId="11" applyFont="1" applyFill="1" applyBorder="1" applyAlignment="1">
      <alignment horizontal="center" vertical="center"/>
    </xf>
    <xf numFmtId="0" fontId="2" fillId="0" borderId="30" xfId="11" applyFont="1" applyFill="1" applyBorder="1" applyAlignment="1">
      <alignment horizontal="center" vertical="center"/>
    </xf>
    <xf numFmtId="0" fontId="2" fillId="0" borderId="80" xfId="11" applyFont="1" applyFill="1" applyBorder="1" applyAlignment="1">
      <alignment horizontal="center" vertical="center"/>
    </xf>
    <xf numFmtId="0" fontId="2" fillId="0" borderId="52" xfId="11" applyFont="1" applyFill="1" applyBorder="1" applyAlignment="1">
      <alignment horizontal="center" vertical="center"/>
    </xf>
    <xf numFmtId="0" fontId="2" fillId="0" borderId="81" xfId="11" applyFont="1" applyFill="1" applyBorder="1" applyAlignment="1">
      <alignment horizontal="center" vertical="center"/>
    </xf>
    <xf numFmtId="0" fontId="1" fillId="0" borderId="28" xfId="11" applyFont="1" applyBorder="1" applyAlignment="1">
      <alignment horizontal="center" vertical="center"/>
    </xf>
    <xf numFmtId="0" fontId="1" fillId="0" borderId="82" xfId="11" applyFont="1" applyBorder="1" applyAlignment="1">
      <alignment horizontal="center" vertical="center"/>
    </xf>
    <xf numFmtId="0" fontId="1" fillId="0" borderId="80" xfId="11" applyFont="1" applyBorder="1" applyAlignment="1">
      <alignment horizontal="center" vertical="center"/>
    </xf>
    <xf numFmtId="0" fontId="1" fillId="0" borderId="73" xfId="11" applyFont="1" applyBorder="1" applyAlignment="1">
      <alignment horizontal="center" vertical="center"/>
    </xf>
    <xf numFmtId="0" fontId="0" fillId="0" borderId="28" xfId="11" applyFont="1" applyFill="1" applyBorder="1" applyAlignment="1">
      <alignment horizontal="center" vertical="center"/>
    </xf>
    <xf numFmtId="0" fontId="0" fillId="0" borderId="29" xfId="11" applyFont="1" applyFill="1" applyBorder="1" applyAlignment="1">
      <alignment horizontal="center" vertical="center"/>
    </xf>
    <xf numFmtId="0" fontId="13" fillId="0" borderId="56" xfId="11" applyFont="1" applyFill="1" applyBorder="1" applyAlignment="1">
      <alignment horizontal="center" vertical="center"/>
    </xf>
    <xf numFmtId="0" fontId="13" fillId="0" borderId="59" xfId="11" applyFont="1" applyFill="1" applyBorder="1" applyAlignment="1">
      <alignment horizontal="center" vertical="center"/>
    </xf>
    <xf numFmtId="0" fontId="0" fillId="0" borderId="71" xfId="11" applyFont="1" applyBorder="1" applyAlignment="1">
      <alignment horizontal="center" vertical="center"/>
    </xf>
    <xf numFmtId="0" fontId="0" fillId="0" borderId="75" xfId="11" applyFont="1" applyBorder="1" applyAlignment="1">
      <alignment horizontal="center" vertical="center"/>
    </xf>
    <xf numFmtId="0" fontId="13" fillId="0" borderId="57" xfId="11" applyFont="1" applyFill="1" applyBorder="1" applyAlignment="1">
      <alignment horizontal="center" vertical="center"/>
    </xf>
    <xf numFmtId="0" fontId="13" fillId="0" borderId="60" xfId="11" applyFont="1" applyFill="1" applyBorder="1" applyAlignment="1">
      <alignment horizontal="center" vertical="center"/>
    </xf>
    <xf numFmtId="0" fontId="0" fillId="0" borderId="13" xfId="11" applyFont="1" applyFill="1" applyBorder="1" applyAlignment="1">
      <alignment horizontal="left" vertical="center"/>
    </xf>
    <xf numFmtId="0" fontId="0" fillId="0" borderId="14" xfId="11" applyFont="1" applyFill="1" applyBorder="1" applyAlignment="1">
      <alignment horizontal="left" vertical="center"/>
    </xf>
    <xf numFmtId="0" fontId="13" fillId="0" borderId="58" xfId="11" applyFont="1" applyFill="1" applyBorder="1" applyAlignment="1">
      <alignment horizontal="center" vertical="center"/>
    </xf>
    <xf numFmtId="0" fontId="13" fillId="0" borderId="61" xfId="11" applyFont="1" applyFill="1" applyBorder="1" applyAlignment="1">
      <alignment horizontal="center" vertical="center"/>
    </xf>
    <xf numFmtId="10" fontId="0" fillId="9" borderId="74" xfId="12" applyNumberFormat="1" applyFont="1" applyFill="1" applyBorder="1" applyAlignment="1" applyProtection="1">
      <alignment horizontal="center" vertical="center"/>
      <protection locked="0"/>
    </xf>
    <xf numFmtId="10" fontId="0" fillId="9" borderId="76" xfId="12" applyNumberFormat="1" applyFont="1" applyFill="1" applyBorder="1" applyAlignment="1" applyProtection="1">
      <alignment horizontal="center" vertical="center"/>
      <protection locked="0"/>
    </xf>
    <xf numFmtId="0" fontId="11" fillId="0" borderId="40" xfId="9" applyFont="1" applyFill="1" applyBorder="1" applyAlignment="1">
      <alignment horizontal="center"/>
    </xf>
    <xf numFmtId="0" fontId="11" fillId="0" borderId="26" xfId="9" applyFont="1" applyFill="1" applyBorder="1" applyAlignment="1">
      <alignment horizontal="center"/>
    </xf>
    <xf numFmtId="0" fontId="11" fillId="0" borderId="34" xfId="9" applyFont="1" applyFill="1" applyBorder="1" applyAlignment="1">
      <alignment horizontal="center"/>
    </xf>
    <xf numFmtId="0" fontId="12" fillId="0" borderId="48" xfId="9" applyFont="1" applyFill="1" applyBorder="1" applyAlignment="1">
      <alignment horizontal="center" vertical="center"/>
    </xf>
    <xf numFmtId="0" fontId="12" fillId="0" borderId="49" xfId="9" applyFont="1" applyFill="1" applyBorder="1" applyAlignment="1">
      <alignment horizontal="center" vertical="center"/>
    </xf>
    <xf numFmtId="0" fontId="12" fillId="0" borderId="40" xfId="9" applyFont="1" applyFill="1" applyBorder="1" applyAlignment="1">
      <alignment horizontal="center" vertical="center"/>
    </xf>
    <xf numFmtId="0" fontId="12" fillId="0" borderId="26" xfId="9" applyFont="1" applyFill="1" applyBorder="1" applyAlignment="1">
      <alignment horizontal="center" vertical="center"/>
    </xf>
    <xf numFmtId="0" fontId="12" fillId="0" borderId="34" xfId="9" applyFont="1" applyFill="1" applyBorder="1" applyAlignment="1">
      <alignment horizontal="center" vertical="center"/>
    </xf>
    <xf numFmtId="0" fontId="12" fillId="0" borderId="25" xfId="9" applyFont="1" applyFill="1" applyBorder="1" applyAlignment="1">
      <alignment horizontal="center" vertical="center"/>
    </xf>
    <xf numFmtId="0" fontId="12" fillId="0" borderId="27" xfId="9" applyFont="1" applyFill="1" applyBorder="1" applyAlignment="1">
      <alignment horizontal="center" vertical="center"/>
    </xf>
    <xf numFmtId="169" fontId="12" fillId="0" borderId="9" xfId="9" applyNumberFormat="1" applyFont="1" applyFill="1" applyBorder="1" applyAlignment="1">
      <alignment horizontal="center" vertical="center"/>
    </xf>
    <xf numFmtId="169" fontId="12" fillId="0" borderId="41" xfId="9" applyNumberFormat="1" applyFont="1" applyFill="1" applyBorder="1" applyAlignment="1">
      <alignment horizontal="center" vertical="center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36" xfId="7" applyFont="1" applyFill="1" applyBorder="1" applyAlignment="1">
      <alignment horizontal="center" vertical="center" wrapText="1"/>
    </xf>
    <xf numFmtId="0" fontId="11" fillId="0" borderId="37" xfId="7" applyFont="1" applyFill="1" applyBorder="1" applyAlignment="1">
      <alignment horizontal="center" vertical="center" wrapText="1"/>
    </xf>
    <xf numFmtId="0" fontId="11" fillId="0" borderId="38" xfId="7" applyFont="1" applyFill="1" applyBorder="1" applyAlignment="1">
      <alignment horizontal="center" vertical="center" wrapText="1"/>
    </xf>
    <xf numFmtId="0" fontId="11" fillId="0" borderId="39" xfId="7" applyFont="1" applyFill="1" applyBorder="1" applyAlignment="1">
      <alignment horizontal="center" vertical="center" wrapText="1"/>
    </xf>
    <xf numFmtId="0" fontId="12" fillId="0" borderId="33" xfId="9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horizontal="center" vertical="center"/>
    </xf>
  </cellXfs>
  <cellStyles count="16">
    <cellStyle name="Moeda" xfId="3" builtinId="4"/>
    <cellStyle name="Moeda 2" xfId="5"/>
    <cellStyle name="Normal" xfId="0" builtinId="0"/>
    <cellStyle name="Normal 11" xfId="7"/>
    <cellStyle name="Normal 2" xfId="4"/>
    <cellStyle name="Normal 2 2" xfId="9"/>
    <cellStyle name="Normal 3" xfId="10"/>
    <cellStyle name="Normal 6" xfId="11"/>
    <cellStyle name="Normal_Pesquisa no referencial 10 de maio de 2013" xfId="13"/>
    <cellStyle name="Porcentagem" xfId="2" builtinId="5"/>
    <cellStyle name="Porcentagem 2" xfId="14"/>
    <cellStyle name="Separador de milhares 2" xfId="8"/>
    <cellStyle name="Separador de milhares 2 2" xfId="6"/>
    <cellStyle name="Vírgula" xfId="1" builtinId="3"/>
    <cellStyle name="Vírgula 2" xfId="15"/>
    <cellStyle name="Vírgula 6" xfId="12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</xdr:colOff>
      <xdr:row>0</xdr:row>
      <xdr:rowOff>167005</xdr:rowOff>
    </xdr:from>
    <xdr:to>
      <xdr:col>3</xdr:col>
      <xdr:colOff>208101</xdr:colOff>
      <xdr:row>2</xdr:row>
      <xdr:rowOff>40118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635" y="167005"/>
          <a:ext cx="2292985" cy="33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7625"/>
          <a:ext cx="24288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0</xdr:row>
      <xdr:rowOff>109855</xdr:rowOff>
    </xdr:from>
    <xdr:to>
      <xdr:col>1</xdr:col>
      <xdr:colOff>1679875</xdr:colOff>
      <xdr:row>2</xdr:row>
      <xdr:rowOff>116146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2075" y="109855"/>
          <a:ext cx="2206625" cy="329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232785" cy="3841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525" y="0"/>
          <a:ext cx="2552700" cy="4857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66700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80340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91"/>
  <sheetViews>
    <sheetView showGridLines="0" view="pageBreakPreview" topLeftCell="A55" zoomScale="85" zoomScaleNormal="100" zoomScaleSheetLayoutView="85" workbookViewId="0">
      <selection activeCell="G18" sqref="G18"/>
    </sheetView>
  </sheetViews>
  <sheetFormatPr defaultColWidth="9.140625" defaultRowHeight="12.75"/>
  <cols>
    <col min="1" max="1" width="8.140625" style="205" customWidth="1"/>
    <col min="2" max="2" width="9.85546875" style="205" customWidth="1"/>
    <col min="3" max="3" width="13.28515625" style="205" customWidth="1"/>
    <col min="4" max="4" width="63" style="205" customWidth="1"/>
    <col min="5" max="5" width="7" style="205" customWidth="1"/>
    <col min="6" max="6" width="16.140625" style="236" customWidth="1"/>
    <col min="7" max="8" width="15.7109375" style="269" customWidth="1"/>
    <col min="9" max="9" width="21.28515625" style="272" customWidth="1"/>
    <col min="10" max="10" width="21.5703125" style="205" customWidth="1"/>
    <col min="11" max="11" width="10.140625" style="205" customWidth="1"/>
    <col min="12" max="14" width="9.5703125" style="205"/>
    <col min="15" max="16384" width="9.140625" style="205"/>
  </cols>
  <sheetData>
    <row r="1" spans="1:14" s="159" customFormat="1" ht="18" customHeight="1">
      <c r="A1" s="193"/>
      <c r="B1" s="264"/>
      <c r="C1" s="264"/>
      <c r="D1" s="312" t="s">
        <v>1</v>
      </c>
      <c r="E1" s="312"/>
      <c r="F1" s="312"/>
      <c r="G1" s="313"/>
      <c r="H1" s="313"/>
      <c r="I1" s="313"/>
      <c r="J1" s="339" t="s">
        <v>2</v>
      </c>
    </row>
    <row r="2" spans="1:14" s="159" customFormat="1" ht="18" customHeight="1">
      <c r="A2" s="194"/>
      <c r="B2" s="237"/>
      <c r="C2" s="237"/>
      <c r="D2" s="314" t="s">
        <v>3</v>
      </c>
      <c r="E2" s="314"/>
      <c r="F2" s="314"/>
      <c r="G2" s="315"/>
      <c r="H2" s="315"/>
      <c r="I2" s="315"/>
      <c r="J2" s="340"/>
    </row>
    <row r="3" spans="1:14" s="159" customFormat="1" ht="18" customHeight="1">
      <c r="A3" s="194"/>
      <c r="B3" s="237"/>
      <c r="C3" s="237"/>
      <c r="D3" s="314" t="s">
        <v>4</v>
      </c>
      <c r="E3" s="314"/>
      <c r="F3" s="314"/>
      <c r="G3" s="315"/>
      <c r="H3" s="315"/>
      <c r="I3" s="315"/>
      <c r="J3" s="340"/>
    </row>
    <row r="4" spans="1:14" s="160" customFormat="1">
      <c r="A4" s="166"/>
      <c r="B4" s="238"/>
      <c r="C4" s="238"/>
      <c r="D4" s="167"/>
      <c r="E4" s="168"/>
      <c r="F4" s="169"/>
      <c r="G4" s="273"/>
      <c r="H4" s="273"/>
      <c r="I4" s="273"/>
      <c r="J4" s="340"/>
    </row>
    <row r="5" spans="1:14" customFormat="1" ht="40.5" customHeight="1">
      <c r="A5" s="316" t="s">
        <v>5</v>
      </c>
      <c r="B5" s="316"/>
      <c r="C5" s="316"/>
      <c r="D5" s="316"/>
      <c r="E5" s="316"/>
      <c r="F5" s="316"/>
      <c r="G5" s="317"/>
      <c r="H5" s="317"/>
      <c r="I5" s="317"/>
      <c r="J5" s="340"/>
    </row>
    <row r="6" spans="1:14" customFormat="1" ht="3" customHeight="1">
      <c r="A6" s="265"/>
      <c r="B6" s="239"/>
      <c r="C6" s="239"/>
      <c r="D6" s="240"/>
      <c r="E6" s="240"/>
      <c r="F6" s="241"/>
      <c r="G6" s="274"/>
      <c r="H6" s="274"/>
      <c r="I6" s="283"/>
      <c r="J6" s="340"/>
    </row>
    <row r="7" spans="1:14" customFormat="1" ht="12.75" customHeight="1">
      <c r="A7" s="318" t="s">
        <v>6</v>
      </c>
      <c r="B7" s="319"/>
      <c r="C7" s="319"/>
      <c r="D7" s="242">
        <f>BDI!D36</f>
        <v>0.21378112315270936</v>
      </c>
      <c r="E7" s="319" t="s">
        <v>7</v>
      </c>
      <c r="F7" s="319"/>
      <c r="G7" s="266">
        <f>'ENC SOCIAIS'!F52</f>
        <v>1.1446999999999998</v>
      </c>
      <c r="H7" s="269"/>
      <c r="I7" s="284"/>
      <c r="J7" s="340"/>
    </row>
    <row r="8" spans="1:14" ht="12.75" customHeight="1">
      <c r="A8" s="123" t="s">
        <v>8</v>
      </c>
      <c r="B8" s="320" t="s">
        <v>9</v>
      </c>
      <c r="C8" s="320"/>
      <c r="D8" s="320"/>
      <c r="E8" s="243"/>
      <c r="F8" s="243"/>
      <c r="G8" s="275"/>
      <c r="H8" s="275"/>
      <c r="I8" s="275"/>
      <c r="J8" s="340"/>
    </row>
    <row r="9" spans="1:14" ht="21" customHeight="1">
      <c r="A9" s="321" t="s">
        <v>498</v>
      </c>
      <c r="B9" s="322"/>
      <c r="C9" s="322"/>
      <c r="D9" s="322"/>
      <c r="E9" s="322"/>
      <c r="F9" s="322"/>
      <c r="G9" s="323"/>
      <c r="H9" s="323"/>
      <c r="I9" s="324"/>
      <c r="J9" s="267">
        <v>1.7100000000000001E-2</v>
      </c>
      <c r="K9" s="205">
        <v>4274.5626000000002</v>
      </c>
    </row>
    <row r="10" spans="1:14" ht="38.25">
      <c r="A10" s="244" t="s">
        <v>10</v>
      </c>
      <c r="B10" s="245" t="s">
        <v>11</v>
      </c>
      <c r="C10" s="245" t="s">
        <v>12</v>
      </c>
      <c r="D10" s="246" t="s">
        <v>13</v>
      </c>
      <c r="E10" s="247" t="s">
        <v>14</v>
      </c>
      <c r="F10" s="248" t="s">
        <v>15</v>
      </c>
      <c r="G10" s="276" t="s">
        <v>16</v>
      </c>
      <c r="H10" s="276" t="s">
        <v>17</v>
      </c>
      <c r="I10" s="285" t="s">
        <v>18</v>
      </c>
      <c r="J10" s="268" t="s">
        <v>19</v>
      </c>
      <c r="K10" s="205">
        <f>K9/I19</f>
        <v>0.13337048120313422</v>
      </c>
    </row>
    <row r="11" spans="1:14" s="235" customFormat="1" ht="20.100000000000001" customHeight="1">
      <c r="A11" s="249">
        <v>1</v>
      </c>
      <c r="C11" s="250"/>
      <c r="D11" s="251" t="s">
        <v>20</v>
      </c>
      <c r="E11" s="325"/>
      <c r="F11" s="326"/>
      <c r="G11" s="326"/>
      <c r="H11" s="326"/>
      <c r="I11" s="326"/>
      <c r="J11" s="327"/>
    </row>
    <row r="12" spans="1:14" ht="18" customHeight="1">
      <c r="A12" s="252" t="s">
        <v>21</v>
      </c>
      <c r="B12" s="253" t="s">
        <v>22</v>
      </c>
      <c r="C12" s="254" t="s">
        <v>156</v>
      </c>
      <c r="D12" s="201" t="s">
        <v>23</v>
      </c>
      <c r="E12" s="25" t="s">
        <v>24</v>
      </c>
      <c r="F12" s="255">
        <v>1</v>
      </c>
      <c r="G12" s="277">
        <f>H12/(1+$D$7)</f>
        <v>10671.792263793772</v>
      </c>
      <c r="H12" s="277">
        <f>'CPU 01 - SERVIÇOS PRELIMINARES'!H20</f>
        <v>12953.22</v>
      </c>
      <c r="I12" s="286">
        <f t="shared" ref="I12:I18" si="0">ROUND(F12*H12,2)</f>
        <v>12953.22</v>
      </c>
      <c r="J12" s="287">
        <f t="shared" ref="J12:J18" si="1">ROUND(I12*(1+$J$9),2)</f>
        <v>13174.72</v>
      </c>
      <c r="K12" s="262">
        <f>I12/I87</f>
        <v>6.5938365448618627E-2</v>
      </c>
      <c r="L12" s="205">
        <f>I12/3</f>
        <v>4317.74</v>
      </c>
      <c r="M12" s="205">
        <f>I12/3</f>
        <v>4317.74</v>
      </c>
      <c r="N12" s="205">
        <f>I12/3</f>
        <v>4317.74</v>
      </c>
    </row>
    <row r="13" spans="1:14" ht="18" customHeight="1">
      <c r="A13" s="252" t="s">
        <v>25</v>
      </c>
      <c r="B13" s="253" t="s">
        <v>26</v>
      </c>
      <c r="C13" s="254">
        <v>10775</v>
      </c>
      <c r="D13" s="201" t="s">
        <v>27</v>
      </c>
      <c r="E13" s="25" t="s">
        <v>28</v>
      </c>
      <c r="F13" s="256">
        <v>3</v>
      </c>
      <c r="G13" s="277">
        <v>870</v>
      </c>
      <c r="H13" s="277">
        <f>ROUND(G13*(1+$D$7),2)</f>
        <v>1055.99</v>
      </c>
      <c r="I13" s="286">
        <f t="shared" si="0"/>
        <v>3167.97</v>
      </c>
      <c r="J13" s="287">
        <f t="shared" si="1"/>
        <v>3222.14</v>
      </c>
      <c r="K13" s="262"/>
    </row>
    <row r="14" spans="1:14" ht="18" customHeight="1">
      <c r="A14" s="252" t="s">
        <v>29</v>
      </c>
      <c r="B14" s="253" t="s">
        <v>30</v>
      </c>
      <c r="C14" s="254">
        <v>4299</v>
      </c>
      <c r="D14" s="201" t="s">
        <v>31</v>
      </c>
      <c r="E14" s="25" t="s">
        <v>28</v>
      </c>
      <c r="F14" s="256">
        <v>3</v>
      </c>
      <c r="G14" s="277">
        <v>654.41999999999996</v>
      </c>
      <c r="H14" s="277">
        <f>ROUND(G14*(1+$D$7),2)</f>
        <v>794.32</v>
      </c>
      <c r="I14" s="286">
        <f t="shared" si="0"/>
        <v>2382.96</v>
      </c>
      <c r="J14" s="287">
        <f t="shared" si="1"/>
        <v>2423.71</v>
      </c>
      <c r="K14" s="262"/>
    </row>
    <row r="15" spans="1:14" ht="18" customHeight="1">
      <c r="A15" s="252" t="s">
        <v>32</v>
      </c>
      <c r="B15" s="253" t="s">
        <v>22</v>
      </c>
      <c r="C15" s="254" t="s">
        <v>157</v>
      </c>
      <c r="D15" s="201" t="s">
        <v>158</v>
      </c>
      <c r="E15" s="25" t="s">
        <v>33</v>
      </c>
      <c r="F15" s="256">
        <v>1</v>
      </c>
      <c r="G15" s="277">
        <f>'CPU 01 - SERVIÇOS PRELIMINARES'!H25</f>
        <v>4196.7699999999995</v>
      </c>
      <c r="H15" s="277">
        <f>ROUND(G15*(1+$D$7),2)</f>
        <v>5093.96</v>
      </c>
      <c r="I15" s="286">
        <f t="shared" si="0"/>
        <v>5093.96</v>
      </c>
      <c r="J15" s="287">
        <f t="shared" si="1"/>
        <v>5181.07</v>
      </c>
      <c r="L15" s="236">
        <f>I15</f>
        <v>5093.96</v>
      </c>
    </row>
    <row r="16" spans="1:14" ht="17.25" customHeight="1">
      <c r="A16" s="252" t="s">
        <v>34</v>
      </c>
      <c r="B16" s="253" t="s">
        <v>22</v>
      </c>
      <c r="C16" s="254" t="s">
        <v>157</v>
      </c>
      <c r="D16" s="201" t="s">
        <v>159</v>
      </c>
      <c r="E16" s="25" t="s">
        <v>33</v>
      </c>
      <c r="F16" s="256">
        <v>1</v>
      </c>
      <c r="G16" s="277">
        <f>'CPU 01 - SERVIÇOS PRELIMINARES'!H25</f>
        <v>4196.7699999999995</v>
      </c>
      <c r="H16" s="277">
        <f>ROUND(G16*(1+$D$7),2)</f>
        <v>5093.96</v>
      </c>
      <c r="I16" s="286">
        <f t="shared" si="0"/>
        <v>5093.96</v>
      </c>
      <c r="J16" s="287">
        <f t="shared" si="1"/>
        <v>5181.07</v>
      </c>
      <c r="L16" s="236">
        <f>I16</f>
        <v>5093.96</v>
      </c>
    </row>
    <row r="17" spans="1:14" ht="18" customHeight="1">
      <c r="A17" s="252" t="s">
        <v>35</v>
      </c>
      <c r="B17" s="253" t="s">
        <v>22</v>
      </c>
      <c r="C17" s="254" t="s">
        <v>36</v>
      </c>
      <c r="D17" s="201" t="s">
        <v>37</v>
      </c>
      <c r="E17" s="25" t="s">
        <v>38</v>
      </c>
      <c r="F17" s="256">
        <f>3.6*1.8</f>
        <v>6.48</v>
      </c>
      <c r="G17" s="277">
        <f>H17/(1+$D$7)</f>
        <v>376.37757853194393</v>
      </c>
      <c r="H17" s="277">
        <f>'CPU 01 - SERVIÇOS PRELIMINARES'!H41</f>
        <v>456.84</v>
      </c>
      <c r="I17" s="286">
        <f t="shared" si="0"/>
        <v>2960.32</v>
      </c>
      <c r="J17" s="287">
        <f t="shared" si="1"/>
        <v>3010.94</v>
      </c>
      <c r="L17" s="236">
        <f>I17</f>
        <v>2960.32</v>
      </c>
    </row>
    <row r="18" spans="1:14" ht="18" customHeight="1">
      <c r="A18" s="252" t="s">
        <v>39</v>
      </c>
      <c r="B18" s="253" t="s">
        <v>22</v>
      </c>
      <c r="C18" s="254" t="s">
        <v>40</v>
      </c>
      <c r="D18" s="201" t="s">
        <v>41</v>
      </c>
      <c r="E18" s="25" t="s">
        <v>38</v>
      </c>
      <c r="F18" s="256">
        <v>795.8</v>
      </c>
      <c r="G18" s="277">
        <f>H18/(1+$D$7)</f>
        <v>0.41193588404249187</v>
      </c>
      <c r="H18" s="277">
        <f>'CPU 01 - SERVIÇOS PRELIMINARES'!H52</f>
        <v>0.5</v>
      </c>
      <c r="I18" s="286">
        <f t="shared" si="0"/>
        <v>397.9</v>
      </c>
      <c r="J18" s="287">
        <f t="shared" si="1"/>
        <v>404.7</v>
      </c>
      <c r="L18" s="236">
        <f>I18</f>
        <v>397.9</v>
      </c>
    </row>
    <row r="19" spans="1:14" ht="20.100000000000001" customHeight="1">
      <c r="A19" s="328"/>
      <c r="B19" s="378"/>
      <c r="C19" s="329"/>
      <c r="D19" s="329"/>
      <c r="E19" s="330" t="s">
        <v>42</v>
      </c>
      <c r="F19" s="330"/>
      <c r="G19" s="331"/>
      <c r="H19" s="331"/>
      <c r="I19" s="288">
        <f>SUM(I12:I18)</f>
        <v>32050.289999999997</v>
      </c>
      <c r="J19" s="289">
        <f>SUM(J12:J18)</f>
        <v>32598.35</v>
      </c>
      <c r="L19" s="205">
        <f>SUM(L12:L17)</f>
        <v>17465.98</v>
      </c>
      <c r="M19" s="205">
        <f>SUM(M12:M17)</f>
        <v>4317.74</v>
      </c>
      <c r="N19" s="205">
        <f>SUM(N12:N17)</f>
        <v>4317.74</v>
      </c>
    </row>
    <row r="20" spans="1:14" s="235" customFormat="1" ht="20.100000000000001" customHeight="1">
      <c r="A20" s="249">
        <v>2</v>
      </c>
      <c r="C20" s="250"/>
      <c r="D20" s="251" t="s">
        <v>130</v>
      </c>
      <c r="E20" s="325"/>
      <c r="F20" s="326"/>
      <c r="G20" s="326"/>
      <c r="H20" s="326"/>
      <c r="I20" s="326"/>
      <c r="J20" s="327"/>
    </row>
    <row r="21" spans="1:14" ht="38.25">
      <c r="A21" s="252" t="s">
        <v>43</v>
      </c>
      <c r="B21" s="253" t="s">
        <v>63</v>
      </c>
      <c r="C21" s="254">
        <v>5502114</v>
      </c>
      <c r="D21" s="201" t="s">
        <v>160</v>
      </c>
      <c r="E21" s="25" t="s">
        <v>52</v>
      </c>
      <c r="F21" s="256">
        <f>'MC - Ilhéus'!E9</f>
        <v>156.87</v>
      </c>
      <c r="G21" s="277">
        <v>5.65</v>
      </c>
      <c r="H21" s="277">
        <f>ROUND(G21*(1+$D$7),2)</f>
        <v>6.86</v>
      </c>
      <c r="I21" s="286">
        <f>ROUND(F21*H21,2)</f>
        <v>1076.1300000000001</v>
      </c>
      <c r="J21" s="287">
        <f>ROUND(I21*(1+$J$9),2)</f>
        <v>1094.53</v>
      </c>
    </row>
    <row r="22" spans="1:14" ht="18" customHeight="1">
      <c r="A22" s="252" t="s">
        <v>45</v>
      </c>
      <c r="B22" s="253" t="s">
        <v>63</v>
      </c>
      <c r="C22" s="254">
        <v>4413942</v>
      </c>
      <c r="D22" s="201" t="s">
        <v>161</v>
      </c>
      <c r="E22" s="25" t="s">
        <v>52</v>
      </c>
      <c r="F22" s="256">
        <f>'MC - Ilhéus'!E10</f>
        <v>156.87</v>
      </c>
      <c r="G22" s="277">
        <v>1.26</v>
      </c>
      <c r="H22" s="277">
        <f>ROUND(G22*(1+$D$7),2)</f>
        <v>1.53</v>
      </c>
      <c r="I22" s="286">
        <f>ROUND(F22*H22,2)</f>
        <v>240.01</v>
      </c>
      <c r="J22" s="287">
        <f>ROUND(I22*(1+$J$9),2)</f>
        <v>244.11</v>
      </c>
    </row>
    <row r="23" spans="1:14" ht="25.5">
      <c r="A23" s="252" t="s">
        <v>162</v>
      </c>
      <c r="B23" s="253" t="s">
        <v>22</v>
      </c>
      <c r="C23" s="254" t="s">
        <v>46</v>
      </c>
      <c r="D23" s="201" t="s">
        <v>47</v>
      </c>
      <c r="E23" s="25" t="s">
        <v>38</v>
      </c>
      <c r="F23" s="256">
        <f>'MC - Ilhéus'!E11</f>
        <v>784.36</v>
      </c>
      <c r="G23" s="277">
        <f>'CPU 02'!H155</f>
        <v>2.2790250000000003</v>
      </c>
      <c r="H23" s="277">
        <f>ROUND(G23*(1+$D$7),2)</f>
        <v>2.77</v>
      </c>
      <c r="I23" s="286">
        <f>ROUND(F23*H23,2)</f>
        <v>2172.6799999999998</v>
      </c>
      <c r="J23" s="287">
        <f>ROUND(I23*(1+$J$9),2)</f>
        <v>2209.83</v>
      </c>
    </row>
    <row r="24" spans="1:14" ht="21.95" customHeight="1">
      <c r="A24" s="328"/>
      <c r="B24" s="378"/>
      <c r="C24" s="329"/>
      <c r="D24" s="329"/>
      <c r="E24" s="330" t="s">
        <v>48</v>
      </c>
      <c r="F24" s="330"/>
      <c r="G24" s="331"/>
      <c r="H24" s="331"/>
      <c r="I24" s="288">
        <f>SUM(I21:I23)</f>
        <v>3488.8199999999997</v>
      </c>
      <c r="J24" s="289">
        <f>SUM(J21:J23)</f>
        <v>3548.47</v>
      </c>
    </row>
    <row r="25" spans="1:14" s="235" customFormat="1" ht="20.100000000000001" customHeight="1">
      <c r="A25" s="249">
        <v>3</v>
      </c>
      <c r="C25" s="250"/>
      <c r="D25" s="251" t="s">
        <v>49</v>
      </c>
      <c r="E25" s="389"/>
      <c r="F25" s="389"/>
      <c r="G25" s="390"/>
      <c r="H25" s="390"/>
      <c r="I25" s="391"/>
      <c r="J25" s="290"/>
      <c r="L25" s="263">
        <f>L19/I19</f>
        <v>0.54495544346088598</v>
      </c>
      <c r="M25" s="263">
        <f>M19/I19</f>
        <v>0.13471765778094363</v>
      </c>
      <c r="N25" s="263">
        <f>N19/I19</f>
        <v>0.13471765778094363</v>
      </c>
    </row>
    <row r="26" spans="1:14" s="207" customFormat="1" ht="21.95" customHeight="1">
      <c r="A26" s="278" t="s">
        <v>50</v>
      </c>
      <c r="B26" s="279" t="s">
        <v>67</v>
      </c>
      <c r="C26" s="280"/>
      <c r="D26" s="281"/>
      <c r="E26" s="332"/>
      <c r="F26" s="333"/>
      <c r="G26" s="333"/>
      <c r="H26" s="333"/>
      <c r="I26" s="333"/>
      <c r="J26" s="334"/>
    </row>
    <row r="27" spans="1:14" ht="25.5">
      <c r="A27" s="252" t="s">
        <v>51</v>
      </c>
      <c r="B27" s="253" t="s">
        <v>26</v>
      </c>
      <c r="C27" s="254">
        <v>93358</v>
      </c>
      <c r="D27" s="201" t="s">
        <v>69</v>
      </c>
      <c r="E27" s="25" t="s">
        <v>52</v>
      </c>
      <c r="F27" s="256">
        <f>'MC - Ilhéus'!E15</f>
        <v>6.2819999999999991</v>
      </c>
      <c r="G27" s="277">
        <v>74.33</v>
      </c>
      <c r="H27" s="277">
        <f t="shared" ref="H27:H34" si="2">ROUND(G27*(1+$D$7),2)</f>
        <v>90.22</v>
      </c>
      <c r="I27" s="286">
        <f t="shared" ref="I27:I34" si="3">ROUND(F27*H27,2)</f>
        <v>566.76</v>
      </c>
      <c r="J27" s="287">
        <f t="shared" ref="J27:J36" si="4">ROUND(I27*(1+$J$9),2)</f>
        <v>576.45000000000005</v>
      </c>
    </row>
    <row r="28" spans="1:14" ht="25.5">
      <c r="A28" s="252" t="s">
        <v>53</v>
      </c>
      <c r="B28" s="253" t="s">
        <v>26</v>
      </c>
      <c r="C28" s="254">
        <v>95240</v>
      </c>
      <c r="D28" s="201" t="s">
        <v>71</v>
      </c>
      <c r="E28" s="25" t="s">
        <v>38</v>
      </c>
      <c r="F28" s="256">
        <f>'MC - Ilhéus'!E16</f>
        <v>41.879999999999995</v>
      </c>
      <c r="G28" s="277">
        <v>17.43</v>
      </c>
      <c r="H28" s="277">
        <f t="shared" si="2"/>
        <v>21.16</v>
      </c>
      <c r="I28" s="286">
        <f t="shared" si="3"/>
        <v>886.18</v>
      </c>
      <c r="J28" s="287">
        <f t="shared" si="4"/>
        <v>901.33</v>
      </c>
    </row>
    <row r="29" spans="1:14" ht="38.25">
      <c r="A29" s="252" t="s">
        <v>55</v>
      </c>
      <c r="B29" s="253" t="s">
        <v>26</v>
      </c>
      <c r="C29" s="254">
        <v>94278</v>
      </c>
      <c r="D29" s="201" t="s">
        <v>131</v>
      </c>
      <c r="E29" s="25" t="s">
        <v>54</v>
      </c>
      <c r="F29" s="256">
        <f>'MC - Ilhéus'!E17</f>
        <v>96.8</v>
      </c>
      <c r="G29" s="277">
        <v>38.340000000000003</v>
      </c>
      <c r="H29" s="277">
        <f t="shared" si="2"/>
        <v>46.54</v>
      </c>
      <c r="I29" s="286">
        <f t="shared" si="3"/>
        <v>4505.07</v>
      </c>
      <c r="J29" s="287">
        <f t="shared" si="4"/>
        <v>4582.1099999999997</v>
      </c>
      <c r="L29" s="205">
        <f>8.53/0.1</f>
        <v>85.299999999999983</v>
      </c>
    </row>
    <row r="30" spans="1:14" ht="38.25">
      <c r="A30" s="252" t="s">
        <v>56</v>
      </c>
      <c r="B30" s="253" t="s">
        <v>26</v>
      </c>
      <c r="C30" s="254">
        <v>94277</v>
      </c>
      <c r="D30" s="201" t="s">
        <v>163</v>
      </c>
      <c r="E30" s="25" t="s">
        <v>54</v>
      </c>
      <c r="F30" s="256">
        <f>'MC - Ilhéus'!E18</f>
        <v>161</v>
      </c>
      <c r="G30" s="277">
        <v>34.29</v>
      </c>
      <c r="H30" s="277">
        <f t="shared" si="2"/>
        <v>41.62</v>
      </c>
      <c r="I30" s="286">
        <f t="shared" si="3"/>
        <v>6700.82</v>
      </c>
      <c r="J30" s="287">
        <f t="shared" si="4"/>
        <v>6815.4</v>
      </c>
    </row>
    <row r="31" spans="1:14" ht="27.75" customHeight="1">
      <c r="A31" s="252" t="s">
        <v>58</v>
      </c>
      <c r="B31" s="253" t="s">
        <v>26</v>
      </c>
      <c r="C31" s="254">
        <v>96995</v>
      </c>
      <c r="D31" s="201" t="s">
        <v>57</v>
      </c>
      <c r="E31" s="25" t="s">
        <v>52</v>
      </c>
      <c r="F31" s="256">
        <f>'MC - Ilhéus'!E19</f>
        <v>3.9367199999999989</v>
      </c>
      <c r="G31" s="277">
        <v>45.06</v>
      </c>
      <c r="H31" s="277">
        <f t="shared" si="2"/>
        <v>54.69</v>
      </c>
      <c r="I31" s="286">
        <f t="shared" si="3"/>
        <v>215.3</v>
      </c>
      <c r="J31" s="287">
        <f t="shared" si="4"/>
        <v>218.98</v>
      </c>
    </row>
    <row r="32" spans="1:14" ht="27.75" customHeight="1">
      <c r="A32" s="252" t="s">
        <v>59</v>
      </c>
      <c r="B32" s="253" t="s">
        <v>22</v>
      </c>
      <c r="C32" s="254" t="s">
        <v>76</v>
      </c>
      <c r="D32" s="201" t="s">
        <v>132</v>
      </c>
      <c r="E32" s="25" t="s">
        <v>38</v>
      </c>
      <c r="F32" s="256">
        <f>'MC - Ilhéus'!E20</f>
        <v>95.61</v>
      </c>
      <c r="G32" s="277">
        <f>'CPU 02'!H24</f>
        <v>73.59075399999999</v>
      </c>
      <c r="H32" s="277">
        <f t="shared" si="2"/>
        <v>89.32</v>
      </c>
      <c r="I32" s="286">
        <f t="shared" si="3"/>
        <v>8539.89</v>
      </c>
      <c r="J32" s="287">
        <f t="shared" si="4"/>
        <v>8685.92</v>
      </c>
    </row>
    <row r="33" spans="1:10" ht="27.75" customHeight="1">
      <c r="A33" s="252" t="s">
        <v>60</v>
      </c>
      <c r="B33" s="253" t="s">
        <v>22</v>
      </c>
      <c r="C33" s="254" t="s">
        <v>76</v>
      </c>
      <c r="D33" s="201" t="s">
        <v>164</v>
      </c>
      <c r="E33" s="25" t="s">
        <v>38</v>
      </c>
      <c r="F33" s="256">
        <f>'MC - Ilhéus'!E21</f>
        <v>32.26</v>
      </c>
      <c r="G33" s="277">
        <f>'CPU 02'!H24</f>
        <v>73.59075399999999</v>
      </c>
      <c r="H33" s="277">
        <f t="shared" si="2"/>
        <v>89.32</v>
      </c>
      <c r="I33" s="286">
        <f t="shared" si="3"/>
        <v>2881.46</v>
      </c>
      <c r="J33" s="287">
        <f t="shared" si="4"/>
        <v>2930.73</v>
      </c>
    </row>
    <row r="34" spans="1:10" ht="27.75" customHeight="1">
      <c r="A34" s="252" t="s">
        <v>61</v>
      </c>
      <c r="B34" s="253" t="s">
        <v>22</v>
      </c>
      <c r="C34" s="254" t="s">
        <v>133</v>
      </c>
      <c r="D34" s="201" t="s">
        <v>134</v>
      </c>
      <c r="E34" s="25" t="s">
        <v>38</v>
      </c>
      <c r="F34" s="256">
        <f>'MC - Ilhéus'!E22</f>
        <v>184.04</v>
      </c>
      <c r="G34" s="277">
        <f>'CPU 02'!H59</f>
        <v>67.288066999999998</v>
      </c>
      <c r="H34" s="277">
        <f t="shared" si="2"/>
        <v>81.67</v>
      </c>
      <c r="I34" s="286">
        <f t="shared" si="3"/>
        <v>15030.55</v>
      </c>
      <c r="J34" s="287">
        <f t="shared" si="4"/>
        <v>15287.57</v>
      </c>
    </row>
    <row r="35" spans="1:10" ht="27.75" customHeight="1">
      <c r="A35" s="252" t="s">
        <v>62</v>
      </c>
      <c r="B35" s="253" t="s">
        <v>22</v>
      </c>
      <c r="C35" s="254" t="s">
        <v>165</v>
      </c>
      <c r="D35" s="201" t="s">
        <v>166</v>
      </c>
      <c r="E35" s="25" t="s">
        <v>52</v>
      </c>
      <c r="F35" s="256">
        <f>'MC - Ilhéus'!E23</f>
        <v>4.12</v>
      </c>
      <c r="G35" s="277">
        <f>'CPU 02'!H118</f>
        <v>1608.4</v>
      </c>
      <c r="H35" s="277">
        <f>ROUND(G35*(1+$D$7),2)</f>
        <v>1952.25</v>
      </c>
      <c r="I35" s="286">
        <f>ROUND(F35*H35,2)</f>
        <v>8043.27</v>
      </c>
      <c r="J35" s="287">
        <f t="shared" si="4"/>
        <v>8180.81</v>
      </c>
    </row>
    <row r="36" spans="1:10" ht="27.75" customHeight="1">
      <c r="A36" s="252" t="s">
        <v>64</v>
      </c>
      <c r="B36" s="253" t="s">
        <v>26</v>
      </c>
      <c r="C36" s="254">
        <v>89306</v>
      </c>
      <c r="D36" s="201" t="s">
        <v>167</v>
      </c>
      <c r="E36" s="25" t="s">
        <v>38</v>
      </c>
      <c r="F36" s="256">
        <f>'MC - Ilhéus'!E24</f>
        <v>33.75</v>
      </c>
      <c r="G36" s="277">
        <v>95.06</v>
      </c>
      <c r="H36" s="277">
        <f>ROUND(G36*(1+$D$7),2)</f>
        <v>115.38</v>
      </c>
      <c r="I36" s="286">
        <f>ROUND(F36*H36,2)</f>
        <v>3894.08</v>
      </c>
      <c r="J36" s="287">
        <f t="shared" si="4"/>
        <v>3960.67</v>
      </c>
    </row>
    <row r="37" spans="1:10" ht="21.95" customHeight="1">
      <c r="A37" s="328"/>
      <c r="B37" s="378"/>
      <c r="C37" s="329"/>
      <c r="D37" s="329"/>
      <c r="E37" s="330" t="s">
        <v>65</v>
      </c>
      <c r="F37" s="330"/>
      <c r="G37" s="331"/>
      <c r="H37" s="331"/>
      <c r="I37" s="291">
        <f>SUM(I27:I36)</f>
        <v>51263.380000000005</v>
      </c>
      <c r="J37" s="292">
        <f>SUM(J27:J36)</f>
        <v>52139.969999999994</v>
      </c>
    </row>
    <row r="38" spans="1:10" s="207" customFormat="1" ht="21.95" customHeight="1">
      <c r="A38" s="278" t="s">
        <v>66</v>
      </c>
      <c r="B38" s="279" t="s">
        <v>135</v>
      </c>
      <c r="C38" s="280"/>
      <c r="D38" s="281"/>
      <c r="E38" s="332"/>
      <c r="F38" s="333"/>
      <c r="G38" s="333"/>
      <c r="H38" s="333"/>
      <c r="I38" s="333"/>
      <c r="J38" s="334"/>
    </row>
    <row r="39" spans="1:10" ht="38.25">
      <c r="A39" s="252" t="s">
        <v>68</v>
      </c>
      <c r="B39" s="253" t="s">
        <v>30</v>
      </c>
      <c r="C39" s="254">
        <v>7324</v>
      </c>
      <c r="D39" s="201" t="s">
        <v>136</v>
      </c>
      <c r="E39" s="25" t="s">
        <v>38</v>
      </c>
      <c r="F39" s="256">
        <f>'MC - Ilhéus'!E26</f>
        <v>35.67</v>
      </c>
      <c r="G39" s="277">
        <v>85.92</v>
      </c>
      <c r="H39" s="277">
        <f t="shared" ref="H39:H44" si="5">ROUND(G39*(1+$D$7),2)</f>
        <v>104.29</v>
      </c>
      <c r="I39" s="286">
        <f t="shared" ref="I39:I44" si="6">ROUND(F39*H39,2)</f>
        <v>3720.02</v>
      </c>
      <c r="J39" s="287">
        <f t="shared" ref="J39:J44" si="7">ROUND(I39*(1+$J$9),2)</f>
        <v>3783.63</v>
      </c>
    </row>
    <row r="40" spans="1:10" ht="27.75" customHeight="1">
      <c r="A40" s="252" t="s">
        <v>70</v>
      </c>
      <c r="B40" s="253" t="s">
        <v>26</v>
      </c>
      <c r="C40" s="254">
        <v>94991</v>
      </c>
      <c r="D40" s="201" t="s">
        <v>168</v>
      </c>
      <c r="E40" s="25" t="s">
        <v>52</v>
      </c>
      <c r="F40" s="256">
        <f>'MC - Ilhéus'!E27</f>
        <v>10.610999999999999</v>
      </c>
      <c r="G40" s="277">
        <v>591.66999999999996</v>
      </c>
      <c r="H40" s="277">
        <f t="shared" si="5"/>
        <v>718.16</v>
      </c>
      <c r="I40" s="286">
        <f t="shared" si="6"/>
        <v>7620.4</v>
      </c>
      <c r="J40" s="287">
        <f t="shared" si="7"/>
        <v>7750.71</v>
      </c>
    </row>
    <row r="41" spans="1:10" ht="27.75" customHeight="1">
      <c r="A41" s="252" t="s">
        <v>72</v>
      </c>
      <c r="B41" s="253" t="s">
        <v>22</v>
      </c>
      <c r="C41" s="254" t="s">
        <v>137</v>
      </c>
      <c r="D41" s="201" t="s">
        <v>138</v>
      </c>
      <c r="E41" s="25" t="s">
        <v>52</v>
      </c>
      <c r="F41" s="256">
        <f>'MC - Ilhéus'!E28</f>
        <v>0.8</v>
      </c>
      <c r="G41" s="277">
        <f>'CPU 02'!H46</f>
        <v>776.31404999999995</v>
      </c>
      <c r="H41" s="277">
        <f t="shared" si="5"/>
        <v>942.28</v>
      </c>
      <c r="I41" s="286">
        <f t="shared" si="6"/>
        <v>753.82</v>
      </c>
      <c r="J41" s="287">
        <f t="shared" si="7"/>
        <v>766.71</v>
      </c>
    </row>
    <row r="42" spans="1:10" ht="27.75" customHeight="1">
      <c r="A42" s="252" t="s">
        <v>73</v>
      </c>
      <c r="B42" s="253" t="s">
        <v>22</v>
      </c>
      <c r="C42" s="254" t="s">
        <v>169</v>
      </c>
      <c r="D42" s="201" t="s">
        <v>170</v>
      </c>
      <c r="E42" s="25" t="s">
        <v>38</v>
      </c>
      <c r="F42" s="256">
        <f>'MC - Ilhéus'!E29</f>
        <v>35.46</v>
      </c>
      <c r="G42" s="277">
        <f>'CPU 02'!H130</f>
        <v>104.1806</v>
      </c>
      <c r="H42" s="277">
        <f t="shared" si="5"/>
        <v>126.45</v>
      </c>
      <c r="I42" s="286">
        <f t="shared" si="6"/>
        <v>4483.92</v>
      </c>
      <c r="J42" s="287">
        <f t="shared" si="7"/>
        <v>4560.6000000000004</v>
      </c>
    </row>
    <row r="43" spans="1:10" ht="27.75" customHeight="1">
      <c r="A43" s="252" t="s">
        <v>74</v>
      </c>
      <c r="B43" s="253" t="s">
        <v>30</v>
      </c>
      <c r="C43" s="254">
        <v>11985</v>
      </c>
      <c r="D43" s="201" t="s">
        <v>171</v>
      </c>
      <c r="E43" s="25" t="s">
        <v>54</v>
      </c>
      <c r="F43" s="256">
        <f>'MC - Ilhéus'!E30</f>
        <v>42.75</v>
      </c>
      <c r="G43" s="277">
        <v>159.03</v>
      </c>
      <c r="H43" s="277">
        <f t="shared" si="5"/>
        <v>193.03</v>
      </c>
      <c r="I43" s="286">
        <f t="shared" si="6"/>
        <v>8252.0300000000007</v>
      </c>
      <c r="J43" s="287">
        <f t="shared" si="7"/>
        <v>8393.14</v>
      </c>
    </row>
    <row r="44" spans="1:10" ht="27.75" customHeight="1">
      <c r="A44" s="252" t="s">
        <v>75</v>
      </c>
      <c r="B44" s="253" t="s">
        <v>26</v>
      </c>
      <c r="C44" s="254">
        <v>99855</v>
      </c>
      <c r="D44" s="201" t="s">
        <v>172</v>
      </c>
      <c r="E44" s="25" t="s">
        <v>54</v>
      </c>
      <c r="F44" s="256">
        <f>'MC - Ilhéus'!E31</f>
        <v>54.28</v>
      </c>
      <c r="G44" s="277">
        <v>126.84</v>
      </c>
      <c r="H44" s="277">
        <f t="shared" si="5"/>
        <v>153.96</v>
      </c>
      <c r="I44" s="286">
        <f t="shared" si="6"/>
        <v>8356.9500000000007</v>
      </c>
      <c r="J44" s="287">
        <f t="shared" si="7"/>
        <v>8499.85</v>
      </c>
    </row>
    <row r="45" spans="1:10" ht="21.95" customHeight="1">
      <c r="A45" s="328"/>
      <c r="B45" s="378"/>
      <c r="C45" s="329"/>
      <c r="D45" s="329"/>
      <c r="E45" s="330" t="s">
        <v>77</v>
      </c>
      <c r="F45" s="330"/>
      <c r="G45" s="331"/>
      <c r="H45" s="331"/>
      <c r="I45" s="291">
        <f>SUM(I39:I44)</f>
        <v>33187.14</v>
      </c>
      <c r="J45" s="292">
        <f>SUM(J39:J44)</f>
        <v>33754.639999999999</v>
      </c>
    </row>
    <row r="46" spans="1:10" ht="21.95" customHeight="1">
      <c r="A46" s="328"/>
      <c r="B46" s="378"/>
      <c r="C46" s="329"/>
      <c r="D46" s="329"/>
      <c r="E46" s="392" t="s">
        <v>78</v>
      </c>
      <c r="F46" s="392"/>
      <c r="G46" s="393"/>
      <c r="H46" s="393"/>
      <c r="I46" s="293">
        <f>I37+I45</f>
        <v>84450.52</v>
      </c>
      <c r="J46" s="294">
        <f>J37+J45</f>
        <v>85894.609999999986</v>
      </c>
    </row>
    <row r="47" spans="1:10" s="235" customFormat="1" ht="21.95" customHeight="1">
      <c r="A47" s="249">
        <v>4</v>
      </c>
      <c r="B47" s="257"/>
      <c r="D47" s="251" t="s">
        <v>79</v>
      </c>
      <c r="E47" s="394"/>
      <c r="F47" s="395"/>
      <c r="G47" s="395"/>
      <c r="H47" s="395"/>
      <c r="I47" s="395"/>
      <c r="J47" s="396"/>
    </row>
    <row r="48" spans="1:10" ht="18.75" customHeight="1">
      <c r="A48" s="252" t="s">
        <v>80</v>
      </c>
      <c r="B48" s="253" t="s">
        <v>22</v>
      </c>
      <c r="C48" s="254" t="s">
        <v>143</v>
      </c>
      <c r="D48" s="201" t="s">
        <v>144</v>
      </c>
      <c r="E48" s="25" t="s">
        <v>52</v>
      </c>
      <c r="F48" s="256">
        <f>'MC - Ilhéus'!E34</f>
        <v>7.4</v>
      </c>
      <c r="G48" s="277">
        <f>'CPU 02'!H33</f>
        <v>176.37</v>
      </c>
      <c r="H48" s="277">
        <f>ROUND(G48*(1+$D$7),2)</f>
        <v>214.07</v>
      </c>
      <c r="I48" s="286">
        <f>ROUND(F48*H48,2)</f>
        <v>1584.12</v>
      </c>
      <c r="J48" s="287">
        <f t="shared" ref="J48:J68" si="8">ROUND(I48*(1+$J$9),2)</f>
        <v>1611.21</v>
      </c>
    </row>
    <row r="49" spans="1:10" ht="27" customHeight="1">
      <c r="A49" s="252" t="s">
        <v>81</v>
      </c>
      <c r="B49" s="253" t="s">
        <v>22</v>
      </c>
      <c r="C49" s="254" t="s">
        <v>82</v>
      </c>
      <c r="D49" s="201" t="s">
        <v>83</v>
      </c>
      <c r="E49" s="25" t="s">
        <v>84</v>
      </c>
      <c r="F49" s="256">
        <f>'MC - Ilhéus'!E35</f>
        <v>1</v>
      </c>
      <c r="G49" s="277">
        <f>'CPU 02'!H141</f>
        <v>12383.94</v>
      </c>
      <c r="H49" s="277">
        <f>ROUND(G49*(1+$D$7),2)</f>
        <v>15031.39</v>
      </c>
      <c r="I49" s="286">
        <f>ROUND(F49*H49,2)</f>
        <v>15031.39</v>
      </c>
      <c r="J49" s="287">
        <f t="shared" si="8"/>
        <v>15288.43</v>
      </c>
    </row>
    <row r="50" spans="1:10" ht="21.95" customHeight="1">
      <c r="A50" s="328"/>
      <c r="B50" s="378"/>
      <c r="C50" s="329"/>
      <c r="D50" s="329"/>
      <c r="E50" s="330" t="s">
        <v>85</v>
      </c>
      <c r="F50" s="330"/>
      <c r="G50" s="331"/>
      <c r="H50" s="331"/>
      <c r="I50" s="288">
        <f>SUM(I48:I49)</f>
        <v>16615.509999999998</v>
      </c>
      <c r="J50" s="289">
        <f>SUM(J48:J49)</f>
        <v>16899.64</v>
      </c>
    </row>
    <row r="51" spans="1:10" s="235" customFormat="1" ht="21.95" customHeight="1">
      <c r="A51" s="249">
        <v>5</v>
      </c>
      <c r="B51" s="257"/>
      <c r="C51" s="282"/>
      <c r="D51" s="251" t="s">
        <v>139</v>
      </c>
      <c r="E51" s="325"/>
      <c r="F51" s="326"/>
      <c r="G51" s="326"/>
      <c r="H51" s="326"/>
      <c r="I51" s="326"/>
      <c r="J51" s="327"/>
    </row>
    <row r="52" spans="1:10" ht="63.75">
      <c r="A52" s="252" t="s">
        <v>86</v>
      </c>
      <c r="B52" s="254" t="s">
        <v>26</v>
      </c>
      <c r="C52" s="254">
        <v>90106</v>
      </c>
      <c r="D52" s="201" t="s">
        <v>173</v>
      </c>
      <c r="E52" s="25" t="s">
        <v>87</v>
      </c>
      <c r="F52" s="256">
        <f>'MC - Ilhéus'!E38</f>
        <v>5.7851999999999997</v>
      </c>
      <c r="G52" s="277">
        <v>6.93</v>
      </c>
      <c r="H52" s="277">
        <f t="shared" ref="H52:H68" si="9">ROUND(G52*(1+$D$7),2)</f>
        <v>8.41</v>
      </c>
      <c r="I52" s="286">
        <f t="shared" ref="I52:I68" si="10">ROUND(F52*H52,2)</f>
        <v>48.65</v>
      </c>
      <c r="J52" s="287">
        <f t="shared" si="8"/>
        <v>49.48</v>
      </c>
    </row>
    <row r="53" spans="1:10" ht="27" customHeight="1">
      <c r="A53" s="308" t="s">
        <v>88</v>
      </c>
      <c r="B53" s="253" t="s">
        <v>30</v>
      </c>
      <c r="C53" s="254">
        <v>3212</v>
      </c>
      <c r="D53" s="201" t="s">
        <v>89</v>
      </c>
      <c r="E53" s="25" t="s">
        <v>87</v>
      </c>
      <c r="F53" s="256">
        <f>'MC - Ilhéus'!E39</f>
        <v>0.96419999999999995</v>
      </c>
      <c r="G53" s="277">
        <v>133.38999999999999</v>
      </c>
      <c r="H53" s="277">
        <f t="shared" si="9"/>
        <v>161.91</v>
      </c>
      <c r="I53" s="286">
        <f t="shared" si="10"/>
        <v>156.11000000000001</v>
      </c>
      <c r="J53" s="287">
        <f t="shared" si="8"/>
        <v>158.78</v>
      </c>
    </row>
    <row r="54" spans="1:10" ht="27" customHeight="1">
      <c r="A54" s="308" t="s">
        <v>90</v>
      </c>
      <c r="B54" s="254" t="s">
        <v>30</v>
      </c>
      <c r="C54" s="254">
        <v>93378</v>
      </c>
      <c r="D54" s="201" t="s">
        <v>91</v>
      </c>
      <c r="E54" s="25" t="s">
        <v>87</v>
      </c>
      <c r="F54" s="256">
        <f>'MC - Ilhéus'!E40</f>
        <v>4.8026880124305</v>
      </c>
      <c r="G54" s="277">
        <v>19.34</v>
      </c>
      <c r="H54" s="277">
        <f t="shared" si="9"/>
        <v>23.47</v>
      </c>
      <c r="I54" s="286">
        <f t="shared" si="10"/>
        <v>112.72</v>
      </c>
      <c r="J54" s="287">
        <f t="shared" si="8"/>
        <v>114.65</v>
      </c>
    </row>
    <row r="55" spans="1:10" ht="25.5">
      <c r="A55" s="308" t="s">
        <v>92</v>
      </c>
      <c r="B55" s="254" t="s">
        <v>26</v>
      </c>
      <c r="C55" s="254">
        <v>93671</v>
      </c>
      <c r="D55" s="201" t="s">
        <v>174</v>
      </c>
      <c r="E55" s="25" t="s">
        <v>14</v>
      </c>
      <c r="F55" s="256">
        <f>'MC - Ilhéus'!E41</f>
        <v>2</v>
      </c>
      <c r="G55" s="277">
        <v>83.72</v>
      </c>
      <c r="H55" s="277">
        <f t="shared" si="9"/>
        <v>101.62</v>
      </c>
      <c r="I55" s="286">
        <f t="shared" si="10"/>
        <v>203.24</v>
      </c>
      <c r="J55" s="287">
        <f t="shared" si="8"/>
        <v>206.72</v>
      </c>
    </row>
    <row r="56" spans="1:10" ht="25.5">
      <c r="A56" s="308" t="s">
        <v>93</v>
      </c>
      <c r="B56" s="254" t="s">
        <v>26</v>
      </c>
      <c r="C56" s="254">
        <v>93667</v>
      </c>
      <c r="D56" s="201" t="s">
        <v>94</v>
      </c>
      <c r="E56" s="25" t="s">
        <v>14</v>
      </c>
      <c r="F56" s="256">
        <f>'MC - Ilhéus'!E42</f>
        <v>1</v>
      </c>
      <c r="G56" s="277">
        <v>74.260000000000005</v>
      </c>
      <c r="H56" s="277">
        <f t="shared" si="9"/>
        <v>90.14</v>
      </c>
      <c r="I56" s="286">
        <f t="shared" si="10"/>
        <v>90.14</v>
      </c>
      <c r="J56" s="287">
        <f t="shared" si="8"/>
        <v>91.68</v>
      </c>
    </row>
    <row r="57" spans="1:10">
      <c r="A57" s="308" t="s">
        <v>95</v>
      </c>
      <c r="B57" s="254" t="s">
        <v>26</v>
      </c>
      <c r="C57" s="254">
        <v>91865</v>
      </c>
      <c r="D57" s="201" t="s">
        <v>96</v>
      </c>
      <c r="E57" s="25" t="s">
        <v>54</v>
      </c>
      <c r="F57" s="256">
        <f>'MC - Ilhéus'!E43</f>
        <v>5</v>
      </c>
      <c r="G57" s="277">
        <v>17.73</v>
      </c>
      <c r="H57" s="277">
        <f t="shared" si="9"/>
        <v>21.52</v>
      </c>
      <c r="I57" s="286">
        <f t="shared" si="10"/>
        <v>107.6</v>
      </c>
      <c r="J57" s="287">
        <f t="shared" si="8"/>
        <v>109.44</v>
      </c>
    </row>
    <row r="58" spans="1:10">
      <c r="A58" s="308" t="s">
        <v>97</v>
      </c>
      <c r="B58" s="254" t="s">
        <v>26</v>
      </c>
      <c r="C58" s="254">
        <v>91863</v>
      </c>
      <c r="D58" s="201" t="s">
        <v>98</v>
      </c>
      <c r="E58" s="25" t="s">
        <v>54</v>
      </c>
      <c r="F58" s="256">
        <f>'MC - Ilhéus'!E44</f>
        <v>59.28</v>
      </c>
      <c r="G58" s="277">
        <v>10.84</v>
      </c>
      <c r="H58" s="277">
        <f t="shared" si="9"/>
        <v>13.16</v>
      </c>
      <c r="I58" s="286">
        <f t="shared" si="10"/>
        <v>780.12</v>
      </c>
      <c r="J58" s="287">
        <f t="shared" si="8"/>
        <v>793.46</v>
      </c>
    </row>
    <row r="59" spans="1:10" ht="25.5">
      <c r="A59" s="308" t="s">
        <v>99</v>
      </c>
      <c r="B59" s="254" t="s">
        <v>30</v>
      </c>
      <c r="C59" s="254">
        <v>7237</v>
      </c>
      <c r="D59" s="201" t="s">
        <v>100</v>
      </c>
      <c r="E59" s="25" t="s">
        <v>101</v>
      </c>
      <c r="F59" s="256">
        <f>'MC - Ilhéus'!E45</f>
        <v>7</v>
      </c>
      <c r="G59" s="277">
        <v>197.14</v>
      </c>
      <c r="H59" s="277">
        <f t="shared" si="9"/>
        <v>239.28</v>
      </c>
      <c r="I59" s="286">
        <f t="shared" si="10"/>
        <v>1674.96</v>
      </c>
      <c r="J59" s="287">
        <f t="shared" si="8"/>
        <v>1703.6</v>
      </c>
    </row>
    <row r="60" spans="1:10">
      <c r="A60" s="308" t="s">
        <v>102</v>
      </c>
      <c r="B60" s="254" t="s">
        <v>30</v>
      </c>
      <c r="C60" s="254">
        <v>6410</v>
      </c>
      <c r="D60" s="201" t="s">
        <v>103</v>
      </c>
      <c r="E60" s="25" t="s">
        <v>101</v>
      </c>
      <c r="F60" s="256">
        <f>'MC - Ilhéus'!E46</f>
        <v>7</v>
      </c>
      <c r="G60" s="277">
        <v>27.38</v>
      </c>
      <c r="H60" s="277">
        <f t="shared" si="9"/>
        <v>33.229999999999997</v>
      </c>
      <c r="I60" s="286">
        <f t="shared" si="10"/>
        <v>232.61</v>
      </c>
      <c r="J60" s="287">
        <f t="shared" si="8"/>
        <v>236.59</v>
      </c>
    </row>
    <row r="61" spans="1:10" ht="25.5">
      <c r="A61" s="308" t="s">
        <v>104</v>
      </c>
      <c r="B61" s="253" t="s">
        <v>22</v>
      </c>
      <c r="C61" s="254" t="s">
        <v>140</v>
      </c>
      <c r="D61" s="201" t="s">
        <v>175</v>
      </c>
      <c r="E61" s="25" t="s">
        <v>14</v>
      </c>
      <c r="F61" s="256">
        <f>'MC - Ilhéus'!E47</f>
        <v>5</v>
      </c>
      <c r="G61" s="277">
        <f>'CPU 02'!H75</f>
        <v>3214.8431339999997</v>
      </c>
      <c r="H61" s="277">
        <f t="shared" si="9"/>
        <v>3902.12</v>
      </c>
      <c r="I61" s="286">
        <f t="shared" si="10"/>
        <v>19510.599999999999</v>
      </c>
      <c r="J61" s="287">
        <f t="shared" si="8"/>
        <v>19844.23</v>
      </c>
    </row>
    <row r="62" spans="1:10" ht="25.5">
      <c r="A62" s="308" t="s">
        <v>105</v>
      </c>
      <c r="B62" s="253" t="s">
        <v>22</v>
      </c>
      <c r="C62" s="254" t="s">
        <v>176</v>
      </c>
      <c r="D62" s="201" t="s">
        <v>177</v>
      </c>
      <c r="E62" s="25" t="s">
        <v>14</v>
      </c>
      <c r="F62" s="256">
        <f>'MC - Ilhéus'!E48</f>
        <v>2</v>
      </c>
      <c r="G62" s="277">
        <f>'CPU 02'!H92</f>
        <v>9278.5071540000008</v>
      </c>
      <c r="H62" s="277">
        <f t="shared" si="9"/>
        <v>11262.08</v>
      </c>
      <c r="I62" s="286">
        <f t="shared" si="10"/>
        <v>22524.16</v>
      </c>
      <c r="J62" s="287">
        <f t="shared" si="8"/>
        <v>22909.32</v>
      </c>
    </row>
    <row r="63" spans="1:10" ht="27" customHeight="1">
      <c r="A63" s="308" t="s">
        <v>108</v>
      </c>
      <c r="B63" s="254" t="s">
        <v>26</v>
      </c>
      <c r="C63" s="254">
        <v>91926</v>
      </c>
      <c r="D63" s="201" t="s">
        <v>106</v>
      </c>
      <c r="E63" s="25" t="s">
        <v>107</v>
      </c>
      <c r="F63" s="256">
        <f>'MC - Ilhéus'!E49</f>
        <v>218.56</v>
      </c>
      <c r="G63" s="277">
        <v>4.28</v>
      </c>
      <c r="H63" s="277">
        <f t="shared" si="9"/>
        <v>5.19</v>
      </c>
      <c r="I63" s="286">
        <f t="shared" si="10"/>
        <v>1134.33</v>
      </c>
      <c r="J63" s="287">
        <f t="shared" si="8"/>
        <v>1153.73</v>
      </c>
    </row>
    <row r="64" spans="1:10" ht="27" customHeight="1">
      <c r="A64" s="308" t="s">
        <v>110</v>
      </c>
      <c r="B64" s="254" t="s">
        <v>26</v>
      </c>
      <c r="C64" s="254">
        <v>91932</v>
      </c>
      <c r="D64" s="201" t="s">
        <v>109</v>
      </c>
      <c r="E64" s="25" t="s">
        <v>107</v>
      </c>
      <c r="F64" s="256">
        <f>'MC - Ilhéus'!E50</f>
        <v>15</v>
      </c>
      <c r="G64" s="277">
        <v>15.81</v>
      </c>
      <c r="H64" s="277">
        <f t="shared" si="9"/>
        <v>19.190000000000001</v>
      </c>
      <c r="I64" s="286">
        <f t="shared" si="10"/>
        <v>287.85000000000002</v>
      </c>
      <c r="J64" s="287">
        <f t="shared" si="8"/>
        <v>292.77</v>
      </c>
    </row>
    <row r="65" spans="1:10" ht="16.5" customHeight="1">
      <c r="A65" s="308" t="s">
        <v>113</v>
      </c>
      <c r="B65" s="254" t="s">
        <v>26</v>
      </c>
      <c r="C65" s="254">
        <v>96985</v>
      </c>
      <c r="D65" s="201" t="s">
        <v>111</v>
      </c>
      <c r="E65" s="25" t="s">
        <v>112</v>
      </c>
      <c r="F65" s="256">
        <f>'MC - Ilhéus'!E51</f>
        <v>7</v>
      </c>
      <c r="G65" s="277">
        <v>89.173000000000002</v>
      </c>
      <c r="H65" s="277">
        <f t="shared" si="9"/>
        <v>108.24</v>
      </c>
      <c r="I65" s="286">
        <f t="shared" si="10"/>
        <v>757.68</v>
      </c>
      <c r="J65" s="287">
        <f t="shared" si="8"/>
        <v>770.64</v>
      </c>
    </row>
    <row r="66" spans="1:10" ht="16.5" customHeight="1">
      <c r="A66" s="308" t="s">
        <v>115</v>
      </c>
      <c r="B66" s="254" t="s">
        <v>26</v>
      </c>
      <c r="C66" s="254">
        <v>101549</v>
      </c>
      <c r="D66" s="201" t="s">
        <v>114</v>
      </c>
      <c r="E66" s="25" t="s">
        <v>112</v>
      </c>
      <c r="F66" s="256">
        <f>'MC - Ilhéus'!E52</f>
        <v>7</v>
      </c>
      <c r="G66" s="277">
        <v>20.85</v>
      </c>
      <c r="H66" s="277">
        <f t="shared" si="9"/>
        <v>25.31</v>
      </c>
      <c r="I66" s="286">
        <f t="shared" si="10"/>
        <v>177.17</v>
      </c>
      <c r="J66" s="287">
        <f t="shared" si="8"/>
        <v>180.2</v>
      </c>
    </row>
    <row r="67" spans="1:10" ht="38.25">
      <c r="A67" s="308" t="s">
        <v>116</v>
      </c>
      <c r="B67" s="254" t="s">
        <v>26</v>
      </c>
      <c r="C67" s="254">
        <v>101875</v>
      </c>
      <c r="D67" s="201" t="s">
        <v>117</v>
      </c>
      <c r="E67" s="25" t="s">
        <v>112</v>
      </c>
      <c r="F67" s="256">
        <f>'MC - Ilhéus'!E53</f>
        <v>1</v>
      </c>
      <c r="G67" s="277">
        <v>511.99</v>
      </c>
      <c r="H67" s="277">
        <f t="shared" si="9"/>
        <v>621.44000000000005</v>
      </c>
      <c r="I67" s="286">
        <f t="shared" si="10"/>
        <v>621.44000000000005</v>
      </c>
      <c r="J67" s="287">
        <f t="shared" si="8"/>
        <v>632.07000000000005</v>
      </c>
    </row>
    <row r="68" spans="1:10" ht="26.25" customHeight="1">
      <c r="A68" s="308" t="s">
        <v>118</v>
      </c>
      <c r="B68" s="254" t="s">
        <v>30</v>
      </c>
      <c r="C68" s="254">
        <v>338</v>
      </c>
      <c r="D68" s="201" t="s">
        <v>119</v>
      </c>
      <c r="E68" s="25" t="s">
        <v>112</v>
      </c>
      <c r="F68" s="256">
        <f>'MC - Ilhéus'!E54</f>
        <v>1</v>
      </c>
      <c r="G68" s="277">
        <v>455.38</v>
      </c>
      <c r="H68" s="277">
        <f t="shared" si="9"/>
        <v>552.73</v>
      </c>
      <c r="I68" s="286">
        <f t="shared" si="10"/>
        <v>552.73</v>
      </c>
      <c r="J68" s="287">
        <f t="shared" si="8"/>
        <v>562.17999999999995</v>
      </c>
    </row>
    <row r="69" spans="1:10" ht="21.95" customHeight="1">
      <c r="A69" s="381"/>
      <c r="B69" s="382"/>
      <c r="C69" s="382"/>
      <c r="D69" s="378"/>
      <c r="E69" s="330" t="s">
        <v>120</v>
      </c>
      <c r="F69" s="330"/>
      <c r="G69" s="331"/>
      <c r="H69" s="331"/>
      <c r="I69" s="288">
        <f>SUM(I52:I68)</f>
        <v>48972.110000000008</v>
      </c>
      <c r="J69" s="289">
        <f>SUM(J52:J68)</f>
        <v>49809.539999999994</v>
      </c>
    </row>
    <row r="70" spans="1:10" s="235" customFormat="1" ht="21.95" customHeight="1">
      <c r="A70" s="249">
        <v>6</v>
      </c>
      <c r="B70" s="257"/>
      <c r="D70" s="251" t="s">
        <v>141</v>
      </c>
      <c r="E70" s="397"/>
      <c r="F70" s="398"/>
      <c r="G70" s="398"/>
      <c r="H70" s="398"/>
      <c r="I70" s="398"/>
      <c r="J70" s="399"/>
    </row>
    <row r="71" spans="1:10" s="235" customFormat="1" ht="21.95" customHeight="1">
      <c r="A71" s="295" t="s">
        <v>122</v>
      </c>
      <c r="B71" s="296" t="s">
        <v>142</v>
      </c>
      <c r="C71" s="297"/>
      <c r="D71" s="298"/>
      <c r="E71" s="341"/>
      <c r="F71" s="342"/>
      <c r="G71" s="342"/>
      <c r="H71" s="342"/>
      <c r="I71" s="342"/>
      <c r="J71" s="343"/>
    </row>
    <row r="72" spans="1:10" ht="18" customHeight="1">
      <c r="A72" s="252" t="s">
        <v>178</v>
      </c>
      <c r="B72" s="253" t="s">
        <v>30</v>
      </c>
      <c r="C72" s="254">
        <v>2395</v>
      </c>
      <c r="D72" s="258" t="s">
        <v>126</v>
      </c>
      <c r="E72" s="200" t="s">
        <v>38</v>
      </c>
      <c r="F72" s="256">
        <f>'MC - Ilhéus'!E58</f>
        <v>116.03</v>
      </c>
      <c r="G72" s="277">
        <v>15.73</v>
      </c>
      <c r="H72" s="277">
        <f>ROUND(G72*(1+$D$7),2)</f>
        <v>19.09</v>
      </c>
      <c r="I72" s="286">
        <f>ROUND(F72*H72,2)</f>
        <v>2215.0100000000002</v>
      </c>
      <c r="J72" s="287">
        <f t="shared" ref="J72:J78" si="11">ROUND(I72*(1+$J$9),2)</f>
        <v>2252.89</v>
      </c>
    </row>
    <row r="73" spans="1:10" ht="18" customHeight="1">
      <c r="A73" s="270"/>
      <c r="B73" s="271"/>
      <c r="C73" s="299"/>
      <c r="D73" s="300"/>
      <c r="E73" s="330" t="s">
        <v>179</v>
      </c>
      <c r="F73" s="330"/>
      <c r="G73" s="331"/>
      <c r="H73" s="331"/>
      <c r="I73" s="303">
        <f>I72</f>
        <v>2215.0100000000002</v>
      </c>
      <c r="J73" s="304">
        <f>J72</f>
        <v>2252.89</v>
      </c>
    </row>
    <row r="74" spans="1:10" ht="18" customHeight="1">
      <c r="A74" s="295" t="s">
        <v>125</v>
      </c>
      <c r="B74" s="296" t="s">
        <v>146</v>
      </c>
      <c r="C74" s="297"/>
      <c r="D74" s="298"/>
      <c r="E74" s="341"/>
      <c r="F74" s="342"/>
      <c r="G74" s="342"/>
      <c r="H74" s="342"/>
      <c r="I74" s="342"/>
      <c r="J74" s="343"/>
    </row>
    <row r="75" spans="1:10" ht="25.5">
      <c r="A75" s="252" t="s">
        <v>147</v>
      </c>
      <c r="B75" s="253" t="s">
        <v>26</v>
      </c>
      <c r="C75" s="254">
        <v>87473</v>
      </c>
      <c r="D75" s="201" t="s">
        <v>148</v>
      </c>
      <c r="E75" s="200" t="s">
        <v>38</v>
      </c>
      <c r="F75" s="256">
        <f>'MC - Ilhéus'!E60</f>
        <v>8.48</v>
      </c>
      <c r="G75" s="277">
        <v>74.06</v>
      </c>
      <c r="H75" s="277">
        <f>ROUND(G75*(1+$D$7),2)</f>
        <v>89.89</v>
      </c>
      <c r="I75" s="286">
        <f>ROUND(F75*H75,2)</f>
        <v>762.27</v>
      </c>
      <c r="J75" s="287">
        <f t="shared" si="11"/>
        <v>775.3</v>
      </c>
    </row>
    <row r="76" spans="1:10" ht="38.25">
      <c r="A76" s="252" t="s">
        <v>149</v>
      </c>
      <c r="B76" s="253" t="s">
        <v>26</v>
      </c>
      <c r="C76" s="254">
        <v>87893</v>
      </c>
      <c r="D76" s="201" t="s">
        <v>150</v>
      </c>
      <c r="E76" s="200" t="s">
        <v>38</v>
      </c>
      <c r="F76" s="256">
        <f>'MC - Ilhéus'!E61</f>
        <v>8.48</v>
      </c>
      <c r="G76" s="277">
        <v>7.08</v>
      </c>
      <c r="H76" s="277">
        <f>ROUND(G76*(1+$D$7),2)</f>
        <v>8.59</v>
      </c>
      <c r="I76" s="286">
        <f>ROUND(F76*H76,2)</f>
        <v>72.84</v>
      </c>
      <c r="J76" s="287">
        <f t="shared" si="11"/>
        <v>74.09</v>
      </c>
    </row>
    <row r="77" spans="1:10" ht="25.5">
      <c r="A77" s="252" t="s">
        <v>151</v>
      </c>
      <c r="B77" s="253" t="s">
        <v>26</v>
      </c>
      <c r="C77" s="254">
        <v>87548</v>
      </c>
      <c r="D77" s="201" t="s">
        <v>152</v>
      </c>
      <c r="E77" s="200" t="s">
        <v>38</v>
      </c>
      <c r="F77" s="256">
        <f>'MC - Ilhéus'!E62</f>
        <v>8.48</v>
      </c>
      <c r="G77" s="277">
        <v>25.97</v>
      </c>
      <c r="H77" s="277">
        <f>ROUND(G77*(1+$D$7),2)</f>
        <v>31.52</v>
      </c>
      <c r="I77" s="286">
        <f>ROUND(F77*H77,2)</f>
        <v>267.29000000000002</v>
      </c>
      <c r="J77" s="287">
        <f t="shared" si="11"/>
        <v>271.86</v>
      </c>
    </row>
    <row r="78" spans="1:10" ht="25.5">
      <c r="A78" s="252" t="s">
        <v>153</v>
      </c>
      <c r="B78" s="253" t="s">
        <v>26</v>
      </c>
      <c r="C78" s="254">
        <v>88489</v>
      </c>
      <c r="D78" s="201" t="s">
        <v>154</v>
      </c>
      <c r="E78" s="200" t="s">
        <v>38</v>
      </c>
      <c r="F78" s="256">
        <f>'MC - Ilhéus'!E63</f>
        <v>8.48</v>
      </c>
      <c r="G78" s="277">
        <v>12.4</v>
      </c>
      <c r="H78" s="277">
        <f>ROUND(G78*(1+$D$7),2)</f>
        <v>15.05</v>
      </c>
      <c r="I78" s="286">
        <f>ROUND(F78*H78,2)</f>
        <v>127.62</v>
      </c>
      <c r="J78" s="287">
        <f t="shared" si="11"/>
        <v>129.80000000000001</v>
      </c>
    </row>
    <row r="79" spans="1:10" ht="15">
      <c r="A79" s="270"/>
      <c r="B79" s="271"/>
      <c r="C79" s="299"/>
      <c r="D79" s="301"/>
      <c r="E79" s="330" t="s">
        <v>145</v>
      </c>
      <c r="F79" s="330"/>
      <c r="G79" s="331"/>
      <c r="H79" s="331"/>
      <c r="I79" s="303">
        <f>SUM(I75:I78)</f>
        <v>1230.02</v>
      </c>
      <c r="J79" s="304">
        <f>SUM(J75:J78)</f>
        <v>1251.05</v>
      </c>
    </row>
    <row r="80" spans="1:10" ht="21.95" customHeight="1">
      <c r="A80" s="381"/>
      <c r="B80" s="382"/>
      <c r="C80" s="382"/>
      <c r="D80" s="378"/>
      <c r="E80" s="330" t="s">
        <v>128</v>
      </c>
      <c r="F80" s="330"/>
      <c r="G80" s="331"/>
      <c r="H80" s="331"/>
      <c r="I80" s="288">
        <f>I79+I73</f>
        <v>3445.03</v>
      </c>
      <c r="J80" s="289">
        <f>J79+J73</f>
        <v>3503.9399999999996</v>
      </c>
    </row>
    <row r="81" spans="1:10" s="235" customFormat="1" ht="21.95" customHeight="1">
      <c r="A81" s="249">
        <v>7</v>
      </c>
      <c r="B81" s="257"/>
      <c r="D81" s="251" t="s">
        <v>121</v>
      </c>
      <c r="E81" s="397"/>
      <c r="F81" s="398"/>
      <c r="G81" s="398"/>
      <c r="H81" s="398"/>
      <c r="I81" s="398"/>
      <c r="J81" s="399"/>
    </row>
    <row r="82" spans="1:10" ht="18" customHeight="1">
      <c r="A82" s="252" t="s">
        <v>180</v>
      </c>
      <c r="B82" s="254" t="s">
        <v>22</v>
      </c>
      <c r="C82" s="254" t="s">
        <v>123</v>
      </c>
      <c r="D82" s="201" t="s">
        <v>124</v>
      </c>
      <c r="E82" s="25" t="s">
        <v>84</v>
      </c>
      <c r="F82" s="256">
        <f>'MC - Ilhéus'!E66</f>
        <v>6</v>
      </c>
      <c r="G82" s="277">
        <f>'CPU 02'!H107</f>
        <v>830.76940000000002</v>
      </c>
      <c r="H82" s="277">
        <f>ROUND(G82*(1+$D$7),2)</f>
        <v>1008.37</v>
      </c>
      <c r="I82" s="286">
        <f>ROUND(F82*H82,2)</f>
        <v>6050.22</v>
      </c>
      <c r="J82" s="287">
        <f>ROUND(I82*(1+$J$9),2)</f>
        <v>6153.68</v>
      </c>
    </row>
    <row r="83" spans="1:10" ht="33.75" customHeight="1">
      <c r="A83" s="252" t="s">
        <v>181</v>
      </c>
      <c r="B83" s="253" t="s">
        <v>30</v>
      </c>
      <c r="C83" s="254">
        <v>9367</v>
      </c>
      <c r="D83" s="201" t="s">
        <v>155</v>
      </c>
      <c r="E83" s="200" t="s">
        <v>84</v>
      </c>
      <c r="F83" s="256">
        <f>'MC - Ilhéus'!E67</f>
        <v>2</v>
      </c>
      <c r="G83" s="277">
        <v>394.65</v>
      </c>
      <c r="H83" s="277">
        <f>ROUND(G83*(1+$D$7),2)</f>
        <v>479.02</v>
      </c>
      <c r="I83" s="286">
        <f>ROUND(F83*H83,2)</f>
        <v>958.04</v>
      </c>
      <c r="J83" s="287">
        <f>ROUND(I83*(1+$J$9),2)</f>
        <v>974.42</v>
      </c>
    </row>
    <row r="84" spans="1:10" ht="18" customHeight="1">
      <c r="A84" s="252" t="s">
        <v>182</v>
      </c>
      <c r="B84" s="253" t="s">
        <v>30</v>
      </c>
      <c r="C84" s="254">
        <v>6191</v>
      </c>
      <c r="D84" s="258" t="s">
        <v>127</v>
      </c>
      <c r="E84" s="25" t="s">
        <v>38</v>
      </c>
      <c r="F84" s="256">
        <f>'MC - Ilhéus'!E68</f>
        <v>795.8</v>
      </c>
      <c r="G84" s="277">
        <v>0.43</v>
      </c>
      <c r="H84" s="277">
        <f>ROUND(G84*(1+$D$7),2)</f>
        <v>0.52</v>
      </c>
      <c r="I84" s="286">
        <f>ROUND(F84*H84,2)</f>
        <v>413.82</v>
      </c>
      <c r="J84" s="287">
        <f>ROUND(I84*(1+$J$9),2)</f>
        <v>420.9</v>
      </c>
    </row>
    <row r="85" spans="1:10" ht="21.95" customHeight="1">
      <c r="A85" s="335"/>
      <c r="B85" s="336"/>
      <c r="C85" s="336"/>
      <c r="D85" s="383"/>
      <c r="E85" s="330" t="s">
        <v>183</v>
      </c>
      <c r="F85" s="330"/>
      <c r="G85" s="331"/>
      <c r="H85" s="331"/>
      <c r="I85" s="288">
        <f>SUM(I82:I84)</f>
        <v>7422.08</v>
      </c>
      <c r="J85" s="289">
        <f>SUM(J82:J84)</f>
        <v>7549</v>
      </c>
    </row>
    <row r="86" spans="1:10">
      <c r="A86" s="259"/>
      <c r="B86" s="260"/>
      <c r="C86" s="260"/>
      <c r="D86" s="260"/>
      <c r="E86" s="261"/>
      <c r="F86" s="261"/>
      <c r="G86" s="302"/>
      <c r="H86" s="302"/>
      <c r="I86" s="302"/>
      <c r="J86" s="305"/>
    </row>
    <row r="87" spans="1:10" ht="30.75" customHeight="1">
      <c r="A87" s="337"/>
      <c r="B87" s="338"/>
      <c r="C87" s="338"/>
      <c r="D87" s="379"/>
      <c r="E87" s="380" t="s">
        <v>129</v>
      </c>
      <c r="F87" s="380"/>
      <c r="G87" s="400"/>
      <c r="H87" s="400"/>
      <c r="I87" s="306">
        <f>SUM(I19+I80+I24+I46+I50+I69+I85)</f>
        <v>196444.36000000002</v>
      </c>
      <c r="J87" s="307">
        <f>SUM(J19+J80+J24+J46+J50+J69+J85)</f>
        <v>199803.55</v>
      </c>
    </row>
    <row r="91" spans="1:10">
      <c r="J91" s="205" t="s">
        <v>184</v>
      </c>
    </row>
  </sheetData>
  <mergeCells count="42">
    <mergeCell ref="E81:J81"/>
    <mergeCell ref="A85:D85"/>
    <mergeCell ref="E85:H85"/>
    <mergeCell ref="A87:D87"/>
    <mergeCell ref="E87:H87"/>
    <mergeCell ref="E73:H73"/>
    <mergeCell ref="E74:J74"/>
    <mergeCell ref="E79:H79"/>
    <mergeCell ref="A80:D80"/>
    <mergeCell ref="E80:H80"/>
    <mergeCell ref="E51:J51"/>
    <mergeCell ref="A69:D69"/>
    <mergeCell ref="E69:H69"/>
    <mergeCell ref="E70:J70"/>
    <mergeCell ref="E71:J71"/>
    <mergeCell ref="A46:D46"/>
    <mergeCell ref="E46:H46"/>
    <mergeCell ref="E47:J47"/>
    <mergeCell ref="A50:D50"/>
    <mergeCell ref="E50:H50"/>
    <mergeCell ref="A37:D37"/>
    <mergeCell ref="E37:H37"/>
    <mergeCell ref="E38:J38"/>
    <mergeCell ref="A45:D45"/>
    <mergeCell ref="E45:H45"/>
    <mergeCell ref="E20:J20"/>
    <mergeCell ref="A24:D24"/>
    <mergeCell ref="E24:H24"/>
    <mergeCell ref="E25:I25"/>
    <mergeCell ref="E26:J26"/>
    <mergeCell ref="B8:D8"/>
    <mergeCell ref="A9:I9"/>
    <mergeCell ref="E11:J11"/>
    <mergeCell ref="A19:D19"/>
    <mergeCell ref="E19:H19"/>
    <mergeCell ref="J1:J8"/>
    <mergeCell ref="D1:I1"/>
    <mergeCell ref="D2:I2"/>
    <mergeCell ref="D3:I3"/>
    <mergeCell ref="A5:I5"/>
    <mergeCell ref="A7:C7"/>
    <mergeCell ref="E7:F7"/>
  </mergeCells>
  <conditionalFormatting sqref="A71">
    <cfRule type="expression" dxfId="9" priority="10" stopIfTrue="1">
      <formula>RIGHT(A71,2)="00"</formula>
    </cfRule>
  </conditionalFormatting>
  <conditionalFormatting sqref="I73">
    <cfRule type="expression" dxfId="8" priority="8" stopIfTrue="1">
      <formula>OR(RIGHT($A73,2)="00",LEFT($D73,5)="Total")</formula>
    </cfRule>
    <cfRule type="expression" dxfId="7" priority="9" stopIfTrue="1">
      <formula>OR(RIGHT(#REF!,2)="00",LEFT($D73,5)="Total")</formula>
    </cfRule>
  </conditionalFormatting>
  <conditionalFormatting sqref="J73">
    <cfRule type="expression" dxfId="6" priority="1" stopIfTrue="1">
      <formula>OR(RIGHT($A73,2)="00",LEFT($D73,5)="Total")</formula>
    </cfRule>
    <cfRule type="expression" dxfId="5" priority="2" stopIfTrue="1">
      <formula>OR(RIGHT(#REF!,2)="00",LEFT($D73,5)="Total")</formula>
    </cfRule>
  </conditionalFormatting>
  <conditionalFormatting sqref="A74">
    <cfRule type="expression" dxfId="4" priority="7" stopIfTrue="1">
      <formula>RIGHT(A74,2)="00"</formula>
    </cfRule>
  </conditionalFormatting>
  <conditionalFormatting sqref="I79">
    <cfRule type="expression" dxfId="3" priority="5" stopIfTrue="1">
      <formula>OR(RIGHT($A79,2)="00",LEFT($D79,5)="Total")</formula>
    </cfRule>
    <cfRule type="expression" dxfId="2" priority="6" stopIfTrue="1">
      <formula>OR(RIGHT(#REF!,2)="00",LEFT($D79,5)="Total")</formula>
    </cfRule>
  </conditionalFormatting>
  <conditionalFormatting sqref="J79">
    <cfRule type="expression" dxfId="1" priority="3" stopIfTrue="1">
      <formula>OR(RIGHT($A79,2)="00",LEFT($D79,5)="Total")</formula>
    </cfRule>
    <cfRule type="expression" dxfId="0" priority="4" stopIfTrue="1">
      <formula>OR(RIGHT(#REF!,2)="00",LEFT($D79,5)="Total")</formula>
    </cfRule>
  </conditionalFormatting>
  <pageMargins left="0.98425196850393704" right="0.59055118110236204" top="0.78740157480314998" bottom="0.78740157480314998" header="0.511811023622047" footer="0.59055118110236204"/>
  <pageSetup paperSize="9" scale="4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35"/>
  <sheetViews>
    <sheetView showGridLines="0" view="pageBreakPreview" topLeftCell="A13" zoomScaleNormal="100" zoomScaleSheetLayoutView="100" workbookViewId="0">
      <selection activeCell="A6" sqref="A6"/>
    </sheetView>
  </sheetViews>
  <sheetFormatPr defaultColWidth="9" defaultRowHeight="12.75"/>
  <cols>
    <col min="2" max="2" width="52.42578125" customWidth="1"/>
    <col min="3" max="3" width="22.28515625" customWidth="1"/>
    <col min="4" max="6" width="18.7109375" customWidth="1"/>
    <col min="7" max="7" width="11.28515625" customWidth="1"/>
  </cols>
  <sheetData>
    <row r="1" spans="1:7" s="159" customFormat="1" ht="15.75" customHeight="1">
      <c r="A1" s="195"/>
      <c r="B1" s="384" t="s">
        <v>0</v>
      </c>
      <c r="C1" s="384"/>
      <c r="D1" s="384"/>
      <c r="E1" s="384"/>
      <c r="F1" s="384"/>
    </row>
    <row r="2" spans="1:7" s="159" customFormat="1" ht="15.75" customHeight="1">
      <c r="A2" s="208"/>
      <c r="B2" s="344" t="s">
        <v>188</v>
      </c>
      <c r="C2" s="344"/>
      <c r="D2" s="344"/>
      <c r="E2" s="344"/>
      <c r="F2" s="344"/>
    </row>
    <row r="3" spans="1:7" s="159" customFormat="1" ht="15.75" customHeight="1">
      <c r="A3" s="208"/>
      <c r="B3" s="384" t="s">
        <v>189</v>
      </c>
      <c r="C3" s="384"/>
      <c r="D3" s="384"/>
      <c r="E3" s="384"/>
      <c r="F3" s="384"/>
    </row>
    <row r="4" spans="1:7">
      <c r="A4" s="3"/>
      <c r="B4" s="4"/>
      <c r="C4" s="158"/>
      <c r="D4" s="158"/>
      <c r="E4" s="4"/>
      <c r="F4" s="4"/>
    </row>
    <row r="5" spans="1:7" s="160" customFormat="1" ht="39.75" customHeight="1">
      <c r="A5" s="345" t="str">
        <f>'Planilha - ILHÉUS'!A5:I5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46"/>
      <c r="C5" s="346"/>
      <c r="D5" s="346"/>
      <c r="E5" s="346"/>
      <c r="F5" s="346"/>
    </row>
    <row r="6" spans="1:7" ht="15">
      <c r="A6" s="209"/>
      <c r="B6" s="210"/>
      <c r="C6" s="211"/>
      <c r="D6" s="211"/>
      <c r="E6" s="212"/>
      <c r="F6" s="4"/>
    </row>
    <row r="7" spans="1:7" ht="20.25">
      <c r="A7" s="347" t="s">
        <v>500</v>
      </c>
      <c r="B7" s="348"/>
      <c r="C7" s="348"/>
      <c r="D7" s="348"/>
      <c r="E7" s="348"/>
      <c r="F7" s="348"/>
    </row>
    <row r="8" spans="1:7">
      <c r="A8" s="155"/>
      <c r="B8" s="156"/>
      <c r="C8" s="154"/>
      <c r="D8" s="154"/>
      <c r="E8" s="156"/>
      <c r="F8" s="156"/>
    </row>
    <row r="9" spans="1:7" ht="12.75" customHeight="1">
      <c r="A9" s="349" t="s">
        <v>190</v>
      </c>
      <c r="B9" s="349" t="s">
        <v>191</v>
      </c>
      <c r="C9" s="349" t="s">
        <v>192</v>
      </c>
      <c r="D9" s="349" t="s">
        <v>193</v>
      </c>
      <c r="E9" s="349" t="s">
        <v>194</v>
      </c>
      <c r="F9" s="349" t="s">
        <v>195</v>
      </c>
    </row>
    <row r="10" spans="1:7" ht="12.75" customHeight="1">
      <c r="A10" s="349"/>
      <c r="B10" s="349"/>
      <c r="C10" s="349"/>
      <c r="D10" s="349"/>
      <c r="E10" s="349"/>
      <c r="F10" s="349"/>
    </row>
    <row r="11" spans="1:7" ht="15.75">
      <c r="A11" s="213">
        <f>'Planilha - ILHÉUS'!A11</f>
        <v>1</v>
      </c>
      <c r="B11" s="213" t="str">
        <f>'Planilha - ILHÉUS'!D11</f>
        <v>SERVIÇOS PRELIMINARES</v>
      </c>
      <c r="C11" s="214">
        <f>'Planilha - ILHÉUS'!J19</f>
        <v>32598.35</v>
      </c>
      <c r="D11" s="215">
        <f>('Planilha - ILHÉUS'!I12/3)+'Planilha - ILHÉUS'!I15+'Planilha - ILHÉUS'!I17+'Planilha - ILHÉUS'!I18</f>
        <v>12769.92</v>
      </c>
      <c r="E11" s="215">
        <f>'Planilha - ILHÉUS'!I12/3</f>
        <v>4317.74</v>
      </c>
      <c r="F11" s="215">
        <f>C11-D11-E11</f>
        <v>15510.69</v>
      </c>
      <c r="G11" s="216">
        <f>D11+E11+F11</f>
        <v>32598.35</v>
      </c>
    </row>
    <row r="12" spans="1:7" ht="15.75">
      <c r="A12" s="213"/>
      <c r="B12" s="217"/>
      <c r="C12" s="218"/>
      <c r="D12" s="219">
        <f>D11/C11</f>
        <v>0.39173516450986018</v>
      </c>
      <c r="E12" s="219">
        <f>E11/C11</f>
        <v>0.13245271616508197</v>
      </c>
      <c r="F12" s="219">
        <f>F11/C11</f>
        <v>0.4758121193250579</v>
      </c>
    </row>
    <row r="13" spans="1:7" ht="15.75">
      <c r="A13" s="213">
        <f>'Planilha - ILHÉUS'!A20</f>
        <v>2</v>
      </c>
      <c r="B13" s="213" t="str">
        <f>'Planilha - ILHÉUS'!D20</f>
        <v>TERRAPLENAGEM</v>
      </c>
      <c r="C13" s="214">
        <f>'Planilha - ILHÉUS'!J24</f>
        <v>3548.47</v>
      </c>
      <c r="D13" s="215">
        <f>C13*100%</f>
        <v>3548.47</v>
      </c>
      <c r="E13" s="231"/>
      <c r="F13" s="232"/>
      <c r="G13" s="216">
        <f>D13+E13+F13</f>
        <v>3548.47</v>
      </c>
    </row>
    <row r="14" spans="1:7" ht="15.75">
      <c r="A14" s="213"/>
      <c r="B14" s="217"/>
      <c r="C14" s="214"/>
      <c r="D14" s="219">
        <f>D13/C13</f>
        <v>1</v>
      </c>
      <c r="E14" s="219">
        <f>E13/C13</f>
        <v>0</v>
      </c>
      <c r="F14" s="219">
        <f>F13/C13</f>
        <v>0</v>
      </c>
    </row>
    <row r="15" spans="1:7" ht="15.75">
      <c r="A15" s="213">
        <f>'Planilha - ILHÉUS'!A25</f>
        <v>3</v>
      </c>
      <c r="B15" s="213" t="str">
        <f>'Planilha - ILHÉUS'!D25</f>
        <v xml:space="preserve"> PAVIMENTAÇÃO E GUIAS</v>
      </c>
      <c r="C15" s="214">
        <f>'Planilha - ILHÉUS'!J46</f>
        <v>85894.609999999986</v>
      </c>
      <c r="D15" s="215">
        <f>D17+D19</f>
        <v>26838.450499999999</v>
      </c>
      <c r="E15" s="215">
        <f>E17+E19</f>
        <v>37741.012000000002</v>
      </c>
      <c r="F15" s="215">
        <f>F17+F19</f>
        <v>21315.147499999995</v>
      </c>
      <c r="G15" s="216">
        <f>D15+E15+F15</f>
        <v>85894.61</v>
      </c>
    </row>
    <row r="16" spans="1:7" ht="15.75">
      <c r="A16" s="213"/>
      <c r="B16" s="217"/>
      <c r="C16" s="233"/>
      <c r="D16" s="219">
        <f>D15/C15</f>
        <v>0.31245791208551971</v>
      </c>
      <c r="E16" s="219">
        <f>E15/C15</f>
        <v>0.43938743071305647</v>
      </c>
      <c r="F16" s="234">
        <f>F15/C15</f>
        <v>0.24815465720142391</v>
      </c>
    </row>
    <row r="17" spans="1:7" ht="15.75">
      <c r="A17" s="213" t="str">
        <f>'Planilha - ILHÉUS'!A26</f>
        <v>3.1</v>
      </c>
      <c r="B17" s="217" t="str">
        <f>'Planilha - ILHÉUS'!B26</f>
        <v>Intertravado</v>
      </c>
      <c r="C17" s="214">
        <f>'Planilha - ILHÉUS'!J37</f>
        <v>52139.969999999994</v>
      </c>
      <c r="D17" s="215">
        <f>C17*0.45</f>
        <v>23462.986499999999</v>
      </c>
      <c r="E17" s="215">
        <v>20863.691999999999</v>
      </c>
      <c r="F17" s="220">
        <f>C17-D17-E17</f>
        <v>7813.2914999999957</v>
      </c>
      <c r="G17" s="216">
        <f>D17+E17+F17</f>
        <v>52139.969999999987</v>
      </c>
    </row>
    <row r="18" spans="1:7" ht="15.75">
      <c r="A18" s="221"/>
      <c r="B18" s="221"/>
      <c r="C18" s="233"/>
      <c r="D18" s="219">
        <f>D17/C17</f>
        <v>0.45</v>
      </c>
      <c r="E18" s="219">
        <f>E17/C17</f>
        <v>0.40014775612644199</v>
      </c>
      <c r="F18" s="234">
        <f>F17/C17</f>
        <v>0.14985224387355797</v>
      </c>
    </row>
    <row r="19" spans="1:7" ht="15.75">
      <c r="A19" s="213" t="str">
        <f>'Planilha - ILHÉUS'!A38</f>
        <v>3.2</v>
      </c>
      <c r="B19" s="217" t="str">
        <f>'Planilha - ILHÉUS'!B38</f>
        <v>Acessibilidade</v>
      </c>
      <c r="C19" s="214">
        <f>'Planilha - ILHÉUS'!J45</f>
        <v>33754.639999999999</v>
      </c>
      <c r="D19" s="215">
        <f>C19*0.1</f>
        <v>3375.4639999999999</v>
      </c>
      <c r="E19" s="215">
        <f>C19*0.5</f>
        <v>16877.32</v>
      </c>
      <c r="F19" s="220">
        <f>C19*0.4</f>
        <v>13501.856</v>
      </c>
      <c r="G19" s="216">
        <f>D19+E19+F19</f>
        <v>33754.639999999999</v>
      </c>
    </row>
    <row r="20" spans="1:7" ht="15.75">
      <c r="A20" s="221"/>
      <c r="B20" s="221"/>
      <c r="C20" s="222"/>
      <c r="D20" s="219">
        <f>D19/C19</f>
        <v>0.1</v>
      </c>
      <c r="E20" s="219">
        <f>E19/C19</f>
        <v>0.5</v>
      </c>
      <c r="F20" s="234">
        <f>F19/C19</f>
        <v>0.4</v>
      </c>
    </row>
    <row r="21" spans="1:7" ht="15.75">
      <c r="A21" s="213">
        <f>'Planilha - ILHÉUS'!A47</f>
        <v>4</v>
      </c>
      <c r="B21" s="213" t="str">
        <f>'Planilha - ILHÉUS'!D47</f>
        <v>INSTALAÇAÕ DE PARQUE INFANTIL</v>
      </c>
      <c r="C21" s="214">
        <f>'Planilha - ILHÉUS'!J50</f>
        <v>16899.64</v>
      </c>
      <c r="D21" s="215">
        <f>C21*0</f>
        <v>0</v>
      </c>
      <c r="E21" s="215">
        <f>D21*0</f>
        <v>0</v>
      </c>
      <c r="F21" s="220">
        <f>C21*1</f>
        <v>16899.64</v>
      </c>
      <c r="G21" s="216">
        <f>D21+E21+F21</f>
        <v>16899.64</v>
      </c>
    </row>
    <row r="22" spans="1:7" ht="15.75">
      <c r="A22" s="221"/>
      <c r="B22" s="221"/>
      <c r="C22" s="222"/>
      <c r="D22" s="219">
        <f>D21/C21</f>
        <v>0</v>
      </c>
      <c r="E22" s="219">
        <f>E21/C21</f>
        <v>0</v>
      </c>
      <c r="F22" s="234">
        <f>F21/C21</f>
        <v>1</v>
      </c>
    </row>
    <row r="23" spans="1:7" ht="15.75">
      <c r="A23" s="213">
        <f>'Planilha - ILHÉUS'!A51</f>
        <v>5</v>
      </c>
      <c r="B23" s="213" t="str">
        <f>'Planilha - ILHÉUS'!D51</f>
        <v>INSTALAÇÕES ELÉTRICAS (Praça)</v>
      </c>
      <c r="C23" s="214">
        <f>'Planilha - ILHÉUS'!J69</f>
        <v>49809.539999999994</v>
      </c>
      <c r="D23" s="215">
        <f>C23*0.15</f>
        <v>7471.4309999999987</v>
      </c>
      <c r="E23" s="215">
        <f>C23*0.15</f>
        <v>7471.4309999999987</v>
      </c>
      <c r="F23" s="215">
        <f>C23*0.7</f>
        <v>34866.677999999993</v>
      </c>
      <c r="G23" s="216">
        <f>D23+E23+F23</f>
        <v>49809.539999999994</v>
      </c>
    </row>
    <row r="24" spans="1:7" ht="15.75">
      <c r="A24" s="221"/>
      <c r="B24" s="221"/>
      <c r="C24" s="222"/>
      <c r="D24" s="219">
        <f>D23/C23</f>
        <v>0.15</v>
      </c>
      <c r="E24" s="219">
        <f>E23/C23</f>
        <v>0.15</v>
      </c>
      <c r="F24" s="219">
        <f>F23/C23</f>
        <v>0.7</v>
      </c>
    </row>
    <row r="25" spans="1:7" ht="15.75">
      <c r="A25" s="213">
        <f>'Planilha - ILHÉUS'!A70</f>
        <v>6</v>
      </c>
      <c r="B25" s="213" t="str">
        <f>'Planilha - ILHÉUS'!D70</f>
        <v>JARDINAGEM</v>
      </c>
      <c r="C25" s="214">
        <f>'Planilha - ILHÉUS'!J80</f>
        <v>3503.9399999999996</v>
      </c>
      <c r="D25" s="215">
        <f>C25*0</f>
        <v>0</v>
      </c>
      <c r="E25" s="215">
        <f>C25*0.3</f>
        <v>1051.1819999999998</v>
      </c>
      <c r="F25" s="215">
        <f>C25*0.7</f>
        <v>2452.7579999999994</v>
      </c>
      <c r="G25" s="216">
        <f>D25+E25+F25</f>
        <v>3503.9399999999991</v>
      </c>
    </row>
    <row r="26" spans="1:7" ht="15.75">
      <c r="A26" s="221"/>
      <c r="B26" s="221"/>
      <c r="C26" s="222"/>
      <c r="D26" s="219">
        <f>D25/C25</f>
        <v>0</v>
      </c>
      <c r="E26" s="219">
        <f>E25/C25</f>
        <v>0.3</v>
      </c>
      <c r="F26" s="219">
        <f>F25/C25</f>
        <v>0.69999999999999984</v>
      </c>
    </row>
    <row r="27" spans="1:7" ht="15.75">
      <c r="A27" s="213">
        <f>'Planilha - ILHÉUS'!A81</f>
        <v>7</v>
      </c>
      <c r="B27" s="213" t="str">
        <f>'Planilha - ILHÉUS'!D81</f>
        <v>DIVERSOS</v>
      </c>
      <c r="C27" s="214">
        <f>'Planilha - ILHÉUS'!J85</f>
        <v>7549</v>
      </c>
      <c r="D27" s="215">
        <f>C27*0</f>
        <v>0</v>
      </c>
      <c r="E27" s="215">
        <f>C27*0.3</f>
        <v>2264.6999999999998</v>
      </c>
      <c r="F27" s="215">
        <f>C27*0.7</f>
        <v>5284.2999999999993</v>
      </c>
      <c r="G27" s="216">
        <f>D27+E27+F27</f>
        <v>7548.9999999999991</v>
      </c>
    </row>
    <row r="28" spans="1:7" ht="15.75">
      <c r="A28" s="221"/>
      <c r="B28" s="221"/>
      <c r="C28" s="222"/>
      <c r="D28" s="219">
        <f>D27/C27</f>
        <v>0</v>
      </c>
      <c r="E28" s="219">
        <f>E27/C27</f>
        <v>0.3</v>
      </c>
      <c r="F28" s="219">
        <f>F27/C27</f>
        <v>0.7</v>
      </c>
    </row>
    <row r="29" spans="1:7" ht="15.75">
      <c r="A29" s="223"/>
      <c r="B29" s="224" t="s">
        <v>196</v>
      </c>
      <c r="C29" s="225">
        <f>C11+C13+C15+C21+C23+C25+C27</f>
        <v>199803.55</v>
      </c>
      <c r="D29" s="225">
        <f>D11+D13+D15+D21+D23+D25</f>
        <v>50628.271499999995</v>
      </c>
      <c r="E29" s="225">
        <f>E11+E13+E15+E21+E23+E25+E27</f>
        <v>52846.064999999995</v>
      </c>
      <c r="F29" s="225">
        <f>F11+F13+F15+F21+F23+F25+F27</f>
        <v>96329.213499999998</v>
      </c>
      <c r="G29" s="216">
        <f>D29+E29+F29</f>
        <v>199803.55</v>
      </c>
    </row>
    <row r="30" spans="1:7" ht="15.75">
      <c r="A30" s="223"/>
      <c r="B30" s="224"/>
      <c r="C30" s="350"/>
      <c r="D30" s="226"/>
      <c r="E30" s="226"/>
      <c r="F30" s="226"/>
    </row>
    <row r="31" spans="1:7" ht="15.75">
      <c r="A31" s="227"/>
      <c r="B31" s="228" t="s">
        <v>197</v>
      </c>
      <c r="C31" s="351"/>
      <c r="D31" s="219">
        <f>D29/C29</f>
        <v>0.25339025007313432</v>
      </c>
      <c r="E31" s="219">
        <f>E29/C29</f>
        <v>0.26449012042078329</v>
      </c>
      <c r="F31" s="219">
        <f>F29/C29</f>
        <v>0.48211962950608239</v>
      </c>
      <c r="G31" s="229">
        <f>D31+E31+F31</f>
        <v>1</v>
      </c>
    </row>
    <row r="32" spans="1:7" ht="15.75">
      <c r="A32" s="227"/>
      <c r="B32" s="228" t="s">
        <v>198</v>
      </c>
      <c r="C32" s="351"/>
      <c r="D32" s="230">
        <f>D29</f>
        <v>50628.271499999995</v>
      </c>
      <c r="E32" s="230">
        <f>D32+E29</f>
        <v>103474.33649999999</v>
      </c>
      <c r="F32" s="230">
        <f>F29+E32</f>
        <v>199803.55</v>
      </c>
    </row>
    <row r="33" spans="1:6" ht="15.75">
      <c r="A33" s="227"/>
      <c r="B33" s="228" t="s">
        <v>199</v>
      </c>
      <c r="C33" s="352"/>
      <c r="D33" s="219">
        <f>D31</f>
        <v>0.25339025007313432</v>
      </c>
      <c r="E33" s="219">
        <f>D33+E31</f>
        <v>0.51788037049391766</v>
      </c>
      <c r="F33" s="219">
        <f>E33+F31</f>
        <v>1</v>
      </c>
    </row>
    <row r="34" spans="1:6">
      <c r="A34" s="64"/>
      <c r="B34" s="62"/>
      <c r="C34" s="63"/>
      <c r="D34" s="63"/>
      <c r="E34" s="62"/>
    </row>
    <row r="35" spans="1:6">
      <c r="C35" s="105"/>
      <c r="D35" s="105"/>
    </row>
  </sheetData>
  <mergeCells count="12">
    <mergeCell ref="C30:C33"/>
    <mergeCell ref="D9:D10"/>
    <mergeCell ref="B1:F1"/>
    <mergeCell ref="B2:F2"/>
    <mergeCell ref="B3:F3"/>
    <mergeCell ref="A5:F5"/>
    <mergeCell ref="A7:F7"/>
    <mergeCell ref="E9:E10"/>
    <mergeCell ref="F9:F10"/>
    <mergeCell ref="A9:A10"/>
    <mergeCell ref="B9:B10"/>
    <mergeCell ref="C9:C10"/>
  </mergeCells>
  <printOptions horizontalCentered="1" verticalCentered="1"/>
  <pageMargins left="0.51180555555555596" right="0.51180555555555596" top="1.4875" bottom="0.78680555555555598" header="0.31458333333333299" footer="0.31458333333333299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view="pageBreakPreview" topLeftCell="A55" zoomScale="106" zoomScaleNormal="100" zoomScaleSheetLayoutView="106" workbookViewId="0">
      <selection activeCell="A7" sqref="A7:E7"/>
    </sheetView>
  </sheetViews>
  <sheetFormatPr defaultColWidth="9.140625" defaultRowHeight="12.75"/>
  <cols>
    <col min="1" max="1" width="9.28515625" style="159" customWidth="1"/>
    <col min="2" max="2" width="54.28515625" style="159" customWidth="1"/>
    <col min="3" max="3" width="7.42578125" style="159" customWidth="1"/>
    <col min="4" max="4" width="40.140625" style="159" customWidth="1"/>
    <col min="5" max="5" width="14.85546875" style="159" customWidth="1"/>
    <col min="6" max="6" width="9.140625" style="159"/>
    <col min="7" max="7" width="15.42578125" style="159" customWidth="1"/>
    <col min="8" max="10" width="9.140625" style="159"/>
    <col min="11" max="11" width="13.28515625" style="159" customWidth="1"/>
    <col min="12" max="16384" width="9.140625" style="159"/>
  </cols>
  <sheetData>
    <row r="1" spans="1:16">
      <c r="A1" s="193"/>
      <c r="B1" s="353" t="s">
        <v>200</v>
      </c>
      <c r="C1" s="353"/>
      <c r="D1" s="353"/>
      <c r="E1" s="354"/>
    </row>
    <row r="2" spans="1:16">
      <c r="A2" s="194"/>
      <c r="B2" s="355" t="s">
        <v>202</v>
      </c>
      <c r="C2" s="355"/>
      <c r="D2" s="355"/>
      <c r="E2" s="356"/>
    </row>
    <row r="3" spans="1:16">
      <c r="A3" s="194"/>
      <c r="B3" s="355" t="s">
        <v>201</v>
      </c>
      <c r="C3" s="355"/>
      <c r="D3" s="355"/>
      <c r="E3" s="356"/>
    </row>
    <row r="4" spans="1:16">
      <c r="A4" s="385" t="str">
        <f>'Planilha - ILHÉUS'!A5:I5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4" s="386"/>
      <c r="C4" s="386"/>
      <c r="D4" s="386"/>
      <c r="E4" s="387"/>
    </row>
    <row r="5" spans="1:16">
      <c r="A5" s="357"/>
      <c r="B5" s="388"/>
      <c r="C5" s="388"/>
      <c r="D5" s="388"/>
      <c r="E5" s="359"/>
      <c r="F5" s="196"/>
      <c r="H5" s="159">
        <v>1330.68</v>
      </c>
      <c r="I5" s="196" t="s">
        <v>38</v>
      </c>
    </row>
    <row r="6" spans="1:16" ht="32.1" customHeight="1">
      <c r="A6" s="357"/>
      <c r="B6" s="388"/>
      <c r="C6" s="388"/>
      <c r="D6" s="388"/>
      <c r="E6" s="359"/>
      <c r="F6" s="159" t="s">
        <v>203</v>
      </c>
      <c r="H6" s="197">
        <f>H11*H9</f>
        <v>156.87200000000001</v>
      </c>
      <c r="I6" s="159" t="s">
        <v>52</v>
      </c>
    </row>
    <row r="7" spans="1:16" ht="14.25">
      <c r="A7" s="360" t="s">
        <v>501</v>
      </c>
      <c r="B7" s="360"/>
      <c r="C7" s="360"/>
      <c r="D7" s="360"/>
      <c r="E7" s="360"/>
      <c r="F7" s="159" t="s">
        <v>204</v>
      </c>
      <c r="H7" s="197">
        <v>0.2</v>
      </c>
      <c r="I7" s="159" t="s">
        <v>54</v>
      </c>
    </row>
    <row r="8" spans="1:16">
      <c r="A8" s="198">
        <f>'Planilha - ILHÉUS'!A20</f>
        <v>2</v>
      </c>
      <c r="B8" s="199" t="str">
        <f>'Planilha - ILHÉUS'!D20</f>
        <v>TERRAPLENAGEM</v>
      </c>
      <c r="C8" s="361"/>
      <c r="D8" s="361"/>
      <c r="E8" s="361"/>
      <c r="F8" s="159" t="s">
        <v>205</v>
      </c>
      <c r="H8" s="197">
        <f>H9*0.2</f>
        <v>156.87200000000001</v>
      </c>
      <c r="I8" s="159" t="s">
        <v>52</v>
      </c>
    </row>
    <row r="9" spans="1:16" ht="38.25">
      <c r="A9" s="200" t="str">
        <f>'Planilha - ILHÉUS'!A21</f>
        <v>2.1</v>
      </c>
      <c r="B9" s="201" t="str">
        <f>'Planilha - ILHÉUS'!D21</f>
        <v>Escavação, carga e transporte de material de 1ª categoria - DMT de 1.000 a 1.200 m - caminho de serviço em leito natural - com escavadeira e caminhão basculante de 14 m³</v>
      </c>
      <c r="C9" s="25" t="str">
        <f>'Planilha - ILHÉUS'!E21</f>
        <v>m³</v>
      </c>
      <c r="D9" s="202" t="s">
        <v>218</v>
      </c>
      <c r="E9" s="203">
        <f>ROUND(H9*H11,2)</f>
        <v>156.87</v>
      </c>
      <c r="F9" s="196"/>
      <c r="H9" s="197">
        <v>784.36</v>
      </c>
      <c r="I9" s="159" t="s">
        <v>38</v>
      </c>
    </row>
    <row r="10" spans="1:16">
      <c r="A10" s="200" t="str">
        <f>'Planilha - ILHÉUS'!A22</f>
        <v>2.2</v>
      </c>
      <c r="B10" s="201" t="str">
        <f>'Planilha - ILHÉUS'!D22</f>
        <v>Espalhamento de material em bota-fora</v>
      </c>
      <c r="C10" s="25" t="str">
        <f>'Planilha - ILHÉUS'!E22</f>
        <v>m³</v>
      </c>
      <c r="D10" s="202" t="s">
        <v>219</v>
      </c>
      <c r="E10" s="203">
        <v>156.87</v>
      </c>
      <c r="H10" s="197"/>
    </row>
    <row r="11" spans="1:16" ht="25.5">
      <c r="A11" s="200" t="str">
        <f>'Planilha - ILHÉUS'!A23</f>
        <v>2.3</v>
      </c>
      <c r="B11" s="201" t="str">
        <f>'Planilha - ILHÉUS'!D23</f>
        <v>regularização e compactação de subleito de solo predominantemente argiloso</v>
      </c>
      <c r="C11" s="25" t="str">
        <f>'Planilha - ILHÉUS'!E23</f>
        <v>m²</v>
      </c>
      <c r="D11" s="202" t="s">
        <v>220</v>
      </c>
      <c r="E11" s="203">
        <f>H9</f>
        <v>784.36</v>
      </c>
      <c r="F11" s="159" t="s">
        <v>206</v>
      </c>
      <c r="H11" s="197">
        <v>0.2</v>
      </c>
      <c r="I11" s="159" t="s">
        <v>54</v>
      </c>
    </row>
    <row r="12" spans="1:16">
      <c r="A12" s="362"/>
      <c r="B12" s="362"/>
      <c r="C12" s="362"/>
      <c r="D12" s="362"/>
      <c r="E12" s="362"/>
    </row>
    <row r="13" spans="1:16">
      <c r="A13" s="198">
        <f>'Planilha - ILHÉUS'!A25</f>
        <v>3</v>
      </c>
      <c r="B13" s="199" t="str">
        <f>'Planilha - ILHÉUS'!D25</f>
        <v xml:space="preserve"> PAVIMENTAÇÃO E GUIAS</v>
      </c>
      <c r="C13" s="361"/>
      <c r="D13" s="361"/>
      <c r="E13" s="361"/>
    </row>
    <row r="14" spans="1:16">
      <c r="A14" s="198" t="str">
        <f>'Planilha - ILHÉUS'!A26</f>
        <v>3.1</v>
      </c>
      <c r="B14" s="204" t="str">
        <f>'Planilha - ILHÉUS'!B26</f>
        <v>Intertravado</v>
      </c>
      <c r="C14" s="25"/>
      <c r="D14" s="202"/>
      <c r="E14" s="202"/>
      <c r="F14" s="196"/>
      <c r="I14" s="196"/>
      <c r="J14" s="196"/>
      <c r="L14" s="196"/>
      <c r="M14" s="196"/>
    </row>
    <row r="15" spans="1:16" ht="25.5">
      <c r="A15" s="200" t="str">
        <f>'Planilha - ILHÉUS'!A27</f>
        <v>3.1.1</v>
      </c>
      <c r="B15" s="201" t="str">
        <f>'Planilha - ILHÉUS'!D27</f>
        <v>escavação manual de vala com profundidade menor ou igual a 1,30 m c 02/2021</v>
      </c>
      <c r="C15" s="25" t="str">
        <f>'Planilha - ILHÉUS'!E27</f>
        <v>m³</v>
      </c>
      <c r="D15" s="202" t="s">
        <v>221</v>
      </c>
      <c r="E15" s="202">
        <f>279.2*0.15*0.15</f>
        <v>6.2819999999999991</v>
      </c>
      <c r="F15" s="196"/>
      <c r="I15" s="196"/>
      <c r="J15" s="196"/>
      <c r="L15" s="196"/>
      <c r="M15" s="196"/>
    </row>
    <row r="16" spans="1:16" ht="25.5">
      <c r="A16" s="200" t="str">
        <f>'Planilha - ILHÉUS'!A28</f>
        <v>3.1.2</v>
      </c>
      <c r="B16" s="201" t="str">
        <f>'Planilha - ILHÉUS'!D28</f>
        <v>Lastro de concreto magro, aplicado em pisos, lajes sobre solo ou radier, espessura de 3 cm.</v>
      </c>
      <c r="C16" s="25" t="str">
        <f>'Planilha - ILHÉUS'!E28</f>
        <v>m²</v>
      </c>
      <c r="D16" s="202" t="s">
        <v>222</v>
      </c>
      <c r="E16" s="202">
        <f>279.2*0.15</f>
        <v>41.879999999999995</v>
      </c>
      <c r="I16" s="196"/>
      <c r="J16" s="196">
        <f>(7.98+0.25)/0.1</f>
        <v>82.3</v>
      </c>
      <c r="K16" s="159" t="s">
        <v>223</v>
      </c>
      <c r="M16" s="196"/>
      <c r="O16" s="205">
        <v>8.1</v>
      </c>
      <c r="P16" s="205">
        <v>2.52</v>
      </c>
    </row>
    <row r="17" spans="1:16" ht="51">
      <c r="A17" s="200" t="str">
        <f>'Planilha - ILHÉUS'!A29</f>
        <v>3.1.3</v>
      </c>
      <c r="B17" s="201" t="str">
        <f>'Planilha - ILHÉUS'!D29</f>
        <v>Assentamento de guia (meio-fio) em trecho curvo, confeccionada em concreto pré-fabricado, dimensões 80x08x08x25 cm (comprimento x base inferior x base superior x altura), para urbanização.</v>
      </c>
      <c r="C17" s="25" t="str">
        <f>'Planilha - ILHÉUS'!E29</f>
        <v>m</v>
      </c>
      <c r="D17" s="202" t="s">
        <v>224</v>
      </c>
      <c r="E17" s="203">
        <f>(P16+P17+P18+P19)/0.1</f>
        <v>96.8</v>
      </c>
      <c r="I17" s="196"/>
      <c r="J17" s="159">
        <f>3.82+3.49+4.03+3.51</f>
        <v>14.85</v>
      </c>
      <c r="K17" s="159" t="s">
        <v>225</v>
      </c>
      <c r="M17" s="196"/>
      <c r="O17" s="205">
        <v>8</v>
      </c>
      <c r="P17" s="205">
        <v>2.65</v>
      </c>
    </row>
    <row r="18" spans="1:16" ht="51">
      <c r="A18" s="200" t="str">
        <f>'Planilha - ILHÉUS'!A30</f>
        <v>3.1.4</v>
      </c>
      <c r="B18" s="201" t="str">
        <f>'Planilha - ILHÉUS'!D30</f>
        <v>Assentamento de guia (meio-fio) em trecho reto, confeccionada em concreto pré-fabricado, dimensões 80x08x08x25 cm (comprimento x base inferior x base superior x altura), para urbanização</v>
      </c>
      <c r="C18" s="25" t="str">
        <f>'Planilha - ILHÉUS'!E30</f>
        <v>m</v>
      </c>
      <c r="D18" s="202" t="s">
        <v>226</v>
      </c>
      <c r="E18" s="203">
        <f>(O16+O17)/0.1</f>
        <v>161</v>
      </c>
      <c r="I18" s="196"/>
      <c r="J18" s="196">
        <f>0.85*4</f>
        <v>3.4</v>
      </c>
      <c r="K18" s="159" t="s">
        <v>227</v>
      </c>
      <c r="M18" s="196"/>
      <c r="O18" s="205"/>
      <c r="P18" s="205">
        <v>2.2400000000000002</v>
      </c>
    </row>
    <row r="19" spans="1:16" ht="38.25">
      <c r="A19" s="200" t="str">
        <f>'Planilha - ILHÉUS'!A31</f>
        <v>3.1.5</v>
      </c>
      <c r="B19" s="201" t="str">
        <f>'Planilha - ILHÉUS'!D31</f>
        <v>Reaterro manual apiloado com soquete</v>
      </c>
      <c r="C19" s="25" t="str">
        <f>'Planilha - ILHÉUS'!E31</f>
        <v>m³</v>
      </c>
      <c r="D19" s="202" t="s">
        <v>228</v>
      </c>
      <c r="E19" s="203">
        <f>E15-(279.2*0.12*0.07)</f>
        <v>3.9367199999999989</v>
      </c>
      <c r="I19" s="196"/>
      <c r="O19" s="205"/>
      <c r="P19" s="205">
        <v>2.27</v>
      </c>
    </row>
    <row r="20" spans="1:16" ht="38.25">
      <c r="A20" s="200" t="str">
        <f>'Planilha - ILHÉUS'!A32</f>
        <v>3.1.6</v>
      </c>
      <c r="B20" s="201" t="str">
        <f>'Planilha - ILHÉUS'!D32</f>
        <v>Execução de passeio em piso intertravado, com bloco retangular colorido (vermelho) de 20 x 10  cm, espessura de 6 cm.</v>
      </c>
      <c r="C20" s="25" t="str">
        <f>'Planilha - ILHÉUS'!E32</f>
        <v>m²</v>
      </c>
      <c r="D20" s="202" t="s">
        <v>229</v>
      </c>
      <c r="E20" s="203">
        <f>98.71-1.3*2-0.25*2</f>
        <v>95.61</v>
      </c>
      <c r="I20" s="196"/>
      <c r="K20" s="159" t="s">
        <v>230</v>
      </c>
    </row>
    <row r="21" spans="1:16" ht="38.25">
      <c r="A21" s="200" t="str">
        <f>'Planilha - ILHÉUS'!A33</f>
        <v>3.1.7</v>
      </c>
      <c r="B21" s="201" t="str">
        <f>'Planilha - ILHÉUS'!D33</f>
        <v>Execução de passeio em piso intertravado, com bloco retangular colorido (amarelo) de 20 x 10  cm, espessura de 6 cm.</v>
      </c>
      <c r="C21" s="25" t="str">
        <f>'Planilha - ILHÉUS'!E33</f>
        <v>m²</v>
      </c>
      <c r="D21" s="202" t="s">
        <v>231</v>
      </c>
      <c r="E21" s="203">
        <f>32.51-0.25</f>
        <v>32.26</v>
      </c>
      <c r="I21" s="196"/>
      <c r="K21" s="205">
        <v>68.91</v>
      </c>
    </row>
    <row r="22" spans="1:16" ht="25.5">
      <c r="A22" s="200" t="str">
        <f>'Planilha - ILHÉUS'!A34</f>
        <v>3.1.8</v>
      </c>
      <c r="B22" s="201" t="str">
        <f>'Planilha - ILHÉUS'!D34</f>
        <v>Execução de passeio em piso intertravado, com bloco retangular cor natural de 20 x 10  cm, espessura de 6 cm.</v>
      </c>
      <c r="C22" s="25" t="str">
        <f>'Planilha - ILHÉUS'!E34</f>
        <v>m²</v>
      </c>
      <c r="D22" s="202" t="s">
        <v>232</v>
      </c>
      <c r="E22" s="203">
        <f>M26</f>
        <v>184.04</v>
      </c>
      <c r="I22" s="196"/>
      <c r="K22" s="205">
        <v>28.85</v>
      </c>
      <c r="M22" s="159" t="s">
        <v>233</v>
      </c>
      <c r="O22" s="159" t="s">
        <v>234</v>
      </c>
    </row>
    <row r="23" spans="1:16" ht="25.5">
      <c r="A23" s="200" t="str">
        <f>'Planilha - ILHÉUS'!A35</f>
        <v>3.1.9</v>
      </c>
      <c r="B23" s="201" t="str">
        <f>'Planilha - ILHÉUS'!D35</f>
        <v>Execução de escada para acesso aos diferentes níveis da praça, fck = 20 mPa, moldada in loco</v>
      </c>
      <c r="C23" s="25" t="str">
        <f>'Planilha - ILHÉUS'!E35</f>
        <v>m³</v>
      </c>
      <c r="D23" s="202" t="s">
        <v>235</v>
      </c>
      <c r="E23" s="203">
        <v>4.12</v>
      </c>
      <c r="I23" s="196"/>
      <c r="K23" s="205">
        <v>6.37</v>
      </c>
      <c r="M23" s="159">
        <v>5.72</v>
      </c>
      <c r="O23" s="159">
        <f>1.3*4</f>
        <v>5.2</v>
      </c>
    </row>
    <row r="24" spans="1:16" ht="25.5">
      <c r="A24" s="200" t="str">
        <f>'Planilha - ILHÉUS'!A36</f>
        <v>3.1.10</v>
      </c>
      <c r="B24" s="201" t="str">
        <f>'Planilha - ILHÉUS'!D36</f>
        <v>Execução muro em alvenaria estrutural nas diferenças de níveis da praça e nas laterais das rampas</v>
      </c>
      <c r="C24" s="25" t="str">
        <f>'Planilha - ILHÉUS'!E36</f>
        <v>m²</v>
      </c>
      <c r="D24" s="202" t="s">
        <v>236</v>
      </c>
      <c r="E24" s="203">
        <v>33.75</v>
      </c>
      <c r="F24" s="206">
        <f>E20+E21+E22</f>
        <v>311.90999999999997</v>
      </c>
      <c r="I24" s="196"/>
      <c r="K24" s="205">
        <v>27.79</v>
      </c>
    </row>
    <row r="25" spans="1:16">
      <c r="A25" s="198" t="str">
        <f>'Planilha - ILHÉUS'!A38</f>
        <v>3.2</v>
      </c>
      <c r="B25" s="204" t="str">
        <f>'Planilha - ILHÉUS'!B38</f>
        <v>Acessibilidade</v>
      </c>
      <c r="C25" s="25"/>
      <c r="D25" s="202"/>
      <c r="E25" s="202"/>
      <c r="I25" s="196"/>
      <c r="K25" s="205">
        <v>57.84</v>
      </c>
      <c r="M25" s="207">
        <f>SUM(K21:K25)</f>
        <v>189.76</v>
      </c>
      <c r="N25" s="196" t="s">
        <v>237</v>
      </c>
    </row>
    <row r="26" spans="1:16" ht="51">
      <c r="A26" s="200" t="str">
        <f>'Planilha - ILHÉUS'!A39</f>
        <v>3.2.1</v>
      </c>
      <c r="B26" s="201" t="str">
        <f>'Planilha - ILHÉUS'!D39</f>
        <v>Piso tátil direcional e/ou de alerta, de concreto, colorido, para deficientes visuais, dimensões 25 x 25 cm, aplicado com argamassa industrializada ac-II, rejuntado, exclusive regularização de base</v>
      </c>
      <c r="C26" s="25" t="str">
        <f>'Planilha - ILHÉUS'!E39</f>
        <v>m²</v>
      </c>
      <c r="D26" s="202" t="s">
        <v>238</v>
      </c>
      <c r="E26" s="202">
        <v>35.67</v>
      </c>
      <c r="I26" s="196"/>
      <c r="K26" s="205"/>
      <c r="M26" s="159">
        <f>M25-M23</f>
        <v>184.04</v>
      </c>
      <c r="N26" s="159" t="s">
        <v>239</v>
      </c>
    </row>
    <row r="27" spans="1:16" ht="38.25">
      <c r="A27" s="200" t="str">
        <f>'Planilha - ILHÉUS'!A40</f>
        <v>3.2.2</v>
      </c>
      <c r="B27" s="201" t="str">
        <f>'Planilha - ILHÉUS'!D40</f>
        <v>Execução de passeio (calçada) ou piso de concreto moldado in loco, usinado, acabamento convencional, não armado, 6 cm de espessura</v>
      </c>
      <c r="C27" s="25" t="str">
        <f>'Planilha - ILHÉUS'!E40</f>
        <v>m³</v>
      </c>
      <c r="D27" s="202" t="s">
        <v>240</v>
      </c>
      <c r="E27" s="202">
        <f>176.85*0.06</f>
        <v>10.610999999999999</v>
      </c>
      <c r="F27" s="196"/>
      <c r="H27" s="159" t="s">
        <v>241</v>
      </c>
      <c r="I27" s="196">
        <f>SUM(H28:H33)</f>
        <v>35.67</v>
      </c>
      <c r="J27" s="196"/>
      <c r="M27" s="196"/>
    </row>
    <row r="28" spans="1:16" ht="25.5">
      <c r="A28" s="200" t="str">
        <f>'Planilha - ILHÉUS'!A41</f>
        <v>3.2.3</v>
      </c>
      <c r="B28" s="201" t="str">
        <f>'Planilha - ILHÉUS'!D41</f>
        <v>Execução de rampa de acesso à calçada</v>
      </c>
      <c r="C28" s="25" t="str">
        <f>'Planilha - ILHÉUS'!E41</f>
        <v>m³</v>
      </c>
      <c r="D28" s="202" t="s">
        <v>242</v>
      </c>
      <c r="E28" s="203">
        <f>0.2*4</f>
        <v>0.8</v>
      </c>
      <c r="F28" s="196"/>
      <c r="H28" s="159">
        <v>1.37</v>
      </c>
      <c r="I28" s="196"/>
      <c r="J28" s="196"/>
      <c r="L28" s="196"/>
      <c r="M28" s="196"/>
    </row>
    <row r="29" spans="1:16" ht="25.5">
      <c r="A29" s="200" t="str">
        <f>'Planilha - ILHÉUS'!A42</f>
        <v>3.2.4</v>
      </c>
      <c r="B29" s="201" t="str">
        <f>'Planilha - ILHÉUS'!D42</f>
        <v xml:space="preserve">Execução de rampa de concreto para acesso aos diferentes níveis da praça , fck = 20 mPa, esp. = 10 cm </v>
      </c>
      <c r="C29" s="25" t="str">
        <f>'Planilha - ILHÉUS'!E42</f>
        <v>m²</v>
      </c>
      <c r="D29" s="202" t="s">
        <v>243</v>
      </c>
      <c r="E29" s="203">
        <v>35.46</v>
      </c>
      <c r="H29" s="159">
        <v>21.39</v>
      </c>
      <c r="I29" s="196"/>
      <c r="J29" s="196"/>
      <c r="K29" s="159">
        <v>176.85</v>
      </c>
      <c r="L29" s="159" t="s">
        <v>244</v>
      </c>
      <c r="M29" s="196"/>
    </row>
    <row r="30" spans="1:16" ht="51">
      <c r="A30" s="200" t="str">
        <f>'Planilha - ILHÉUS'!A43</f>
        <v>3.2.5</v>
      </c>
      <c r="B30" s="201" t="str">
        <f>'Planilha - ILHÉUS'!D43</f>
        <v>guarda-corpo h = 1,10 m e corrimão em tubo ferro galvanizado, barras superiores alt = 0,92 m e 0,70 m e barra inferior, diam. = 1 1/2", barras verticais a cada 0,11 m, curvas de aço carbono</v>
      </c>
      <c r="C30" s="25" t="str">
        <f>'Planilha - ILHÉUS'!E43</f>
        <v>m</v>
      </c>
      <c r="D30" s="202" t="s">
        <v>245</v>
      </c>
      <c r="E30" s="203">
        <v>42.75</v>
      </c>
      <c r="H30" s="159">
        <f>4*0.85</f>
        <v>3.4</v>
      </c>
      <c r="I30" s="196"/>
      <c r="J30" s="196"/>
      <c r="M30" s="196"/>
    </row>
    <row r="31" spans="1:16" ht="25.5">
      <c r="A31" s="200" t="str">
        <f>'Planilha - ILHÉUS'!A44</f>
        <v>3.2.6</v>
      </c>
      <c r="B31" s="201" t="str">
        <f>'Planilha - ILHÉUS'!D44</f>
        <v>Corrimão simples, diâmetro externo = 1 1/2", em aço galvanizado. af_04/2019_p</v>
      </c>
      <c r="C31" s="25" t="str">
        <f>'Planilha - ILHÉUS'!E44</f>
        <v>m</v>
      </c>
      <c r="D31" s="202" t="s">
        <v>246</v>
      </c>
      <c r="E31" s="203">
        <v>54.28</v>
      </c>
      <c r="H31" s="159">
        <f>4*0.24</f>
        <v>0.96</v>
      </c>
      <c r="I31" s="196"/>
      <c r="J31" s="196"/>
      <c r="K31" s="159" t="s">
        <v>247</v>
      </c>
      <c r="L31" s="159" t="s">
        <v>237</v>
      </c>
      <c r="M31" s="196"/>
      <c r="N31" s="196" t="s">
        <v>248</v>
      </c>
      <c r="P31" s="159" t="s">
        <v>237</v>
      </c>
    </row>
    <row r="32" spans="1:16">
      <c r="A32" s="362"/>
      <c r="B32" s="362"/>
      <c r="C32" s="362"/>
      <c r="D32" s="362"/>
      <c r="E32" s="362"/>
      <c r="H32" s="159">
        <f>1.3*6</f>
        <v>7.8000000000000007</v>
      </c>
      <c r="I32" s="196"/>
      <c r="K32" s="159">
        <v>10.41</v>
      </c>
      <c r="L32" s="159">
        <f>SUM(K32:K38)</f>
        <v>42.75</v>
      </c>
      <c r="M32" s="196"/>
      <c r="N32" s="196">
        <v>9.17</v>
      </c>
      <c r="P32" s="159">
        <f>SUM(N32:N37)</f>
        <v>54.28</v>
      </c>
    </row>
    <row r="33" spans="1:14">
      <c r="A33" s="198">
        <f>'Planilha - ILHÉUS'!A47</f>
        <v>4</v>
      </c>
      <c r="B33" s="199" t="str">
        <f>'Planilha - ILHÉUS'!D47</f>
        <v>INSTALAÇAÕ DE PARQUE INFANTIL</v>
      </c>
      <c r="C33" s="361"/>
      <c r="D33" s="361"/>
      <c r="E33" s="361"/>
      <c r="H33" s="159">
        <f>0.25*3</f>
        <v>0.75</v>
      </c>
      <c r="I33" s="196"/>
      <c r="K33" s="159">
        <v>9.35</v>
      </c>
      <c r="M33" s="196"/>
      <c r="N33" s="196">
        <v>11.26</v>
      </c>
    </row>
    <row r="34" spans="1:14">
      <c r="A34" s="200" t="str">
        <f>'Planilha - ILHÉUS'!A48</f>
        <v>4.1</v>
      </c>
      <c r="B34" s="201" t="str">
        <f>'Planilha - ILHÉUS'!D48</f>
        <v>pó de brita</v>
      </c>
      <c r="C34" s="25" t="str">
        <f>'Planilha - ILHÉUS'!E48</f>
        <v>m³</v>
      </c>
      <c r="D34" s="202" t="s">
        <v>249</v>
      </c>
      <c r="E34" s="203">
        <f>ROUND(H37*H38,2)</f>
        <v>7.4</v>
      </c>
      <c r="I34" s="196"/>
      <c r="K34" s="159">
        <v>2.98</v>
      </c>
      <c r="M34" s="196"/>
      <c r="N34" s="159">
        <v>5.56</v>
      </c>
    </row>
    <row r="35" spans="1:14">
      <c r="A35" s="200" t="str">
        <f>'Planilha - ILHÉUS'!A49</f>
        <v>4.2</v>
      </c>
      <c r="B35" s="201" t="str">
        <f>'Planilha - ILHÉUS'!D49</f>
        <v>Parque infantil - fornecimento e montagem</v>
      </c>
      <c r="C35" s="25" t="str">
        <f>'Planilha - ILHÉUS'!E49</f>
        <v>un</v>
      </c>
      <c r="D35" s="202"/>
      <c r="E35" s="203">
        <v>1</v>
      </c>
      <c r="K35" s="159">
        <v>1.57</v>
      </c>
      <c r="N35" s="159">
        <v>7.63</v>
      </c>
    </row>
    <row r="36" spans="1:14">
      <c r="A36" s="362"/>
      <c r="B36" s="362"/>
      <c r="C36" s="362"/>
      <c r="D36" s="362"/>
      <c r="E36" s="362"/>
      <c r="K36" s="159">
        <v>0.85</v>
      </c>
      <c r="N36" s="159">
        <v>9.1</v>
      </c>
    </row>
    <row r="37" spans="1:14">
      <c r="A37" s="198">
        <f>'Planilha - ILHÉUS'!A51</f>
        <v>5</v>
      </c>
      <c r="B37" s="199" t="str">
        <f>'Planilha - ILHÉUS'!D51</f>
        <v>INSTALAÇÕES ELÉTRICAS (Praça)</v>
      </c>
      <c r="C37" s="361"/>
      <c r="D37" s="361"/>
      <c r="E37" s="361"/>
      <c r="F37" s="196" t="s">
        <v>250</v>
      </c>
      <c r="H37" s="196">
        <v>37.020000000000003</v>
      </c>
      <c r="I37" s="196" t="s">
        <v>38</v>
      </c>
      <c r="K37" s="159">
        <v>11.59</v>
      </c>
      <c r="N37" s="159">
        <v>11.56</v>
      </c>
    </row>
    <row r="38" spans="1:14" ht="63.75">
      <c r="A38" s="200" t="str">
        <f>'Planilha - ILHÉUS'!A52</f>
        <v>5.1</v>
      </c>
      <c r="B38" s="201" t="str">
        <f>'Planilha - ILHÉUS'!D52</f>
        <v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</v>
      </c>
      <c r="C38" s="200" t="str">
        <f>'Planilha - ILHÉUS'!E52</f>
        <v>M³</v>
      </c>
      <c r="D38" s="202" t="s">
        <v>251</v>
      </c>
      <c r="E38" s="203">
        <f>(E44+E43)*0.3*0.3</f>
        <v>5.7851999999999997</v>
      </c>
      <c r="F38" s="196" t="s">
        <v>209</v>
      </c>
      <c r="H38" s="159">
        <v>0.2</v>
      </c>
      <c r="I38" s="196" t="s">
        <v>54</v>
      </c>
      <c r="K38" s="159">
        <f>1*6</f>
        <v>6</v>
      </c>
    </row>
    <row r="39" spans="1:14">
      <c r="A39" s="200" t="str">
        <f>'Planilha - ILHÉUS'!A53</f>
        <v>5.2</v>
      </c>
      <c r="B39" s="201" t="str">
        <f>'Planilha - ILHÉUS'!D53</f>
        <v xml:space="preserve">Colchão de areia, espessura de 5 cm </v>
      </c>
      <c r="C39" s="200" t="str">
        <f>'Planilha - ILHÉUS'!E53</f>
        <v>M³</v>
      </c>
      <c r="D39" s="202" t="s">
        <v>252</v>
      </c>
      <c r="E39" s="203">
        <f>E38/0.3*0.05</f>
        <v>0.96419999999999995</v>
      </c>
    </row>
    <row r="40" spans="1:14" ht="63.75">
      <c r="A40" s="200" t="str">
        <f>'Planilha - ILHÉUS'!A54</f>
        <v>5.3</v>
      </c>
      <c r="B40" s="201" t="str">
        <f>'Planilha - ILHÉUS'!D54</f>
        <v>Reaterro mecanizado de vala com retroescavadeira (capacidade da caçamba da retro: 0,26 m³ / potência: 88 hp), largura até 0,8 m, profundidade até 1,5 m, com solo de 1ª categoria em locais com baixo nível de interferência. af_04/2016</v>
      </c>
      <c r="C40" s="200" t="str">
        <f>'Planilha - ILHÉUS'!E54</f>
        <v>M³</v>
      </c>
      <c r="D40" s="202" t="s">
        <v>253</v>
      </c>
      <c r="E40" s="203">
        <f>E38-E39-(H46*(E43+E44))</f>
        <v>4.8026880124305</v>
      </c>
      <c r="F40" s="196" t="s">
        <v>210</v>
      </c>
      <c r="H40" s="196">
        <v>405</v>
      </c>
      <c r="I40" s="196" t="s">
        <v>54</v>
      </c>
    </row>
    <row r="41" spans="1:14" ht="25.5">
      <c r="A41" s="200" t="str">
        <f>'Planilha - ILHÉUS'!A55</f>
        <v>5.4</v>
      </c>
      <c r="B41" s="201" t="str">
        <f>'Planilha - ILHÉUS'!D55</f>
        <v>disjuntor tripolar tipo din, corrente nominal de 32a - fornecimento e instalação. af_10/2020</v>
      </c>
      <c r="C41" s="200" t="str">
        <f>'Planilha - ILHÉUS'!E55</f>
        <v>UND</v>
      </c>
      <c r="D41" s="202" t="s">
        <v>208</v>
      </c>
      <c r="E41" s="203">
        <v>2</v>
      </c>
      <c r="F41" s="196" t="s">
        <v>211</v>
      </c>
      <c r="H41" s="159">
        <v>65</v>
      </c>
      <c r="I41" s="196" t="s">
        <v>54</v>
      </c>
      <c r="J41" s="159">
        <f>H41+H40</f>
        <v>470</v>
      </c>
    </row>
    <row r="42" spans="1:14" ht="25.5">
      <c r="A42" s="200" t="str">
        <f>'Planilha - ILHÉUS'!A56</f>
        <v>5.5</v>
      </c>
      <c r="B42" s="201" t="str">
        <f>'Planilha - ILHÉUS'!D56</f>
        <v>disjuntor tripolar tipo din, corrente nominal de 10a - fornecimento e instalação</v>
      </c>
      <c r="C42" s="200" t="str">
        <f>'Planilha - ILHÉUS'!E56</f>
        <v>UND</v>
      </c>
      <c r="D42" s="202" t="s">
        <v>208</v>
      </c>
      <c r="E42" s="203">
        <v>1</v>
      </c>
      <c r="F42" s="196"/>
      <c r="I42" s="196"/>
    </row>
    <row r="43" spans="1:14">
      <c r="A43" s="200" t="str">
        <f>'Planilha - ILHÉUS'!A57</f>
        <v>5.6</v>
      </c>
      <c r="B43" s="201" t="str">
        <f>'Planilha - ILHÉUS'!D57</f>
        <v>eletroduto pvc rígido roscável diâmetro 1 1/4"</v>
      </c>
      <c r="C43" s="200" t="str">
        <f>'Planilha - ILHÉUS'!E57</f>
        <v>m</v>
      </c>
      <c r="D43" s="202" t="s">
        <v>208</v>
      </c>
      <c r="E43" s="203">
        <v>5</v>
      </c>
      <c r="F43" s="196" t="s">
        <v>207</v>
      </c>
      <c r="H43" s="159">
        <v>0.3</v>
      </c>
      <c r="I43" s="196" t="s">
        <v>54</v>
      </c>
    </row>
    <row r="44" spans="1:14">
      <c r="A44" s="200" t="str">
        <f>'Planilha - ILHÉUS'!A58</f>
        <v>5.7</v>
      </c>
      <c r="B44" s="201" t="str">
        <f>'Planilha - ILHÉUS'!D58</f>
        <v>eletroduto pvc rígido roscável diâmetro 3/4"</v>
      </c>
      <c r="C44" s="200" t="str">
        <f>'Planilha - ILHÉUS'!E58</f>
        <v>m</v>
      </c>
      <c r="D44" s="202" t="s">
        <v>208</v>
      </c>
      <c r="E44" s="203">
        <f>21.86+37.42</f>
        <v>59.28</v>
      </c>
      <c r="F44" s="196" t="s">
        <v>212</v>
      </c>
      <c r="H44" s="159">
        <v>0.3</v>
      </c>
      <c r="I44" s="196" t="s">
        <v>54</v>
      </c>
    </row>
    <row r="45" spans="1:14" ht="25.5">
      <c r="A45" s="200" t="str">
        <f>'Planilha - ILHÉUS'!A59</f>
        <v>5.8</v>
      </c>
      <c r="B45" s="201" t="str">
        <f>'Planilha - ILHÉUS'!D59</f>
        <v>Caixa de passagem em alvenaria de tijolos maciços esp. = 0,12 m, dim. Int. = 0,4 x 0,4 x 0,4 m</v>
      </c>
      <c r="C45" s="200" t="str">
        <f>'Planilha - ILHÉUS'!E59</f>
        <v xml:space="preserve"> UND </v>
      </c>
      <c r="D45" s="202" t="s">
        <v>208</v>
      </c>
      <c r="E45" s="203">
        <f>E47+E48</f>
        <v>7</v>
      </c>
      <c r="F45" s="196" t="s">
        <v>213</v>
      </c>
      <c r="H45" s="159">
        <f>H48-(J41*H46)</f>
        <v>42.166107122625</v>
      </c>
    </row>
    <row r="46" spans="1:14" ht="25.5">
      <c r="A46" s="200" t="str">
        <f>'Planilha - ILHÉUS'!A60</f>
        <v>5.9</v>
      </c>
      <c r="B46" s="201" t="str">
        <f>'Planilha - ILHÉUS'!D60</f>
        <v xml:space="preserve">Tampa de concreto para caixas de passagem 0,4 x 0,4 x 0,07 m </v>
      </c>
      <c r="C46" s="200" t="str">
        <f>'Planilha - ILHÉUS'!E60</f>
        <v xml:space="preserve"> UND </v>
      </c>
      <c r="D46" s="202" t="s">
        <v>208</v>
      </c>
      <c r="E46" s="203">
        <f>E45</f>
        <v>7</v>
      </c>
      <c r="F46" s="196" t="s">
        <v>214</v>
      </c>
      <c r="H46" s="196">
        <f>(3.14*((3*0.0254)/4)^2)/4</f>
        <v>2.8487846249999996E-4</v>
      </c>
      <c r="I46" s="196" t="s">
        <v>38</v>
      </c>
    </row>
    <row r="47" spans="1:14" ht="25.5">
      <c r="A47" s="200" t="str">
        <f>'Planilha - ILHÉUS'!A61</f>
        <v>5.10</v>
      </c>
      <c r="B47" s="201" t="str">
        <f>'Planilha - ILHÉUS'!D61</f>
        <v xml:space="preserve">Luminarias decorativas, poste com 2,5 m, lâmpadas de led 100 W, fornecimento e instalação </v>
      </c>
      <c r="C47" s="200" t="str">
        <f>'Planilha - ILHÉUS'!E61</f>
        <v>UND</v>
      </c>
      <c r="D47" s="202" t="s">
        <v>208</v>
      </c>
      <c r="E47" s="203">
        <v>5</v>
      </c>
      <c r="F47" s="196" t="s">
        <v>214</v>
      </c>
      <c r="H47" s="196">
        <f>(3.14*((3*0.0254)/4)^2)/4</f>
        <v>2.8487846249999996E-4</v>
      </c>
      <c r="I47" s="196" t="s">
        <v>38</v>
      </c>
    </row>
    <row r="48" spans="1:14" ht="25.5">
      <c r="A48" s="200" t="str">
        <f>'Planilha - ILHÉUS'!A62</f>
        <v>5.11</v>
      </c>
      <c r="B48" s="201" t="str">
        <f>'Planilha - ILHÉUS'!D62</f>
        <v>Luminarias decorativas, poste com 9,0 m, com quatro luminárias de led 100 W, fornecimento e instalação</v>
      </c>
      <c r="C48" s="200" t="str">
        <f>'Planilha - ILHÉUS'!E62</f>
        <v>UND</v>
      </c>
      <c r="D48" s="202" t="s">
        <v>208</v>
      </c>
      <c r="E48" s="203">
        <v>2</v>
      </c>
      <c r="F48" s="196" t="s">
        <v>215</v>
      </c>
      <c r="H48" s="159">
        <f>(H41+H40)*H43*H44</f>
        <v>42.3</v>
      </c>
    </row>
    <row r="49" spans="1:5" ht="38.25">
      <c r="A49" s="200" t="str">
        <f>'Planilha - ILHÉUS'!A63</f>
        <v>5.12</v>
      </c>
      <c r="B49" s="201" t="str">
        <f>'Planilha - ILHÉUS'!D63</f>
        <v>cabo de cobre flexível isolado, 2,5 mm², anti-chama 450/750 v, para circuitos terminais - fornecimento e instalação. af_12/2015</v>
      </c>
      <c r="C49" s="200" t="str">
        <f>'Planilha - ILHÉUS'!E63</f>
        <v>M</v>
      </c>
      <c r="D49" s="202" t="s">
        <v>254</v>
      </c>
      <c r="E49" s="203">
        <f>E44*2+100</f>
        <v>218.56</v>
      </c>
    </row>
    <row r="50" spans="1:5" ht="38.25">
      <c r="A50" s="200" t="str">
        <f>'Planilha - ILHÉUS'!A64</f>
        <v>5.13</v>
      </c>
      <c r="B50" s="201" t="str">
        <f>'Planilha - ILHÉUS'!D64</f>
        <v>cabo de cobre flexível isolado, 10 mm², anti-chama 450/750 v, para circuitos terminais - fornecimento e instalação. af_12/2015</v>
      </c>
      <c r="C50" s="200" t="str">
        <f>'Planilha - ILHÉUS'!E64</f>
        <v>M</v>
      </c>
      <c r="D50" s="202" t="s">
        <v>216</v>
      </c>
      <c r="E50" s="203">
        <f>E43*3</f>
        <v>15</v>
      </c>
    </row>
    <row r="51" spans="1:5">
      <c r="A51" s="200" t="str">
        <f>'Planilha - ILHÉUS'!A65</f>
        <v>5.14</v>
      </c>
      <c r="B51" s="201" t="str">
        <f>'Planilha - ILHÉUS'!D65</f>
        <v>haste de terra em cobre tipo copperweld ø 5/8"x3,00m</v>
      </c>
      <c r="C51" s="200" t="str">
        <f>'Planilha - ILHÉUS'!E65</f>
        <v>PÇ</v>
      </c>
      <c r="D51" s="202" t="s">
        <v>208</v>
      </c>
      <c r="E51" s="203">
        <f>E47+E48</f>
        <v>7</v>
      </c>
    </row>
    <row r="52" spans="1:5">
      <c r="A52" s="200" t="str">
        <f>'Planilha - ILHÉUS'!A66</f>
        <v>5.15</v>
      </c>
      <c r="B52" s="201" t="str">
        <f>'Planilha - ILHÉUS'!D66</f>
        <v>grampo de aterramento split-bolt, para cabo de # 10,0mm²</v>
      </c>
      <c r="C52" s="200" t="str">
        <f>'Planilha - ILHÉUS'!E66</f>
        <v>PÇ</v>
      </c>
      <c r="D52" s="202" t="s">
        <v>208</v>
      </c>
      <c r="E52" s="203">
        <f>E51</f>
        <v>7</v>
      </c>
    </row>
    <row r="53" spans="1:5" ht="38.25">
      <c r="A53" s="200" t="str">
        <f>'Planilha - ILHÉUS'!A67</f>
        <v>5.16</v>
      </c>
      <c r="B53" s="201" t="str">
        <f>'Planilha - ILHÉUS'!D67</f>
        <v>quadro de distribuição de energia em chapa de aço galvanizado, de embutir, com barramento trifásico, para 12 disjuntores din 100a - fornecimento e instalação.</v>
      </c>
      <c r="C53" s="200" t="str">
        <f>'Planilha - ILHÉUS'!E67</f>
        <v>PÇ</v>
      </c>
      <c r="D53" s="202" t="s">
        <v>208</v>
      </c>
      <c r="E53" s="203">
        <v>1</v>
      </c>
    </row>
    <row r="54" spans="1:5">
      <c r="A54" s="200" t="str">
        <f>'Planilha - ILHÉUS'!A68</f>
        <v>5.17</v>
      </c>
      <c r="B54" s="201" t="str">
        <f>'Planilha - ILHÉUS'!D68</f>
        <v>quadro de medição de energia c padrão "coelba"</v>
      </c>
      <c r="C54" s="200" t="str">
        <f>'Planilha - ILHÉUS'!E68</f>
        <v>PÇ</v>
      </c>
      <c r="D54" s="202" t="s">
        <v>208</v>
      </c>
      <c r="E54" s="203">
        <v>1</v>
      </c>
    </row>
    <row r="55" spans="1:5">
      <c r="A55" s="362"/>
      <c r="B55" s="362"/>
      <c r="C55" s="362"/>
      <c r="D55" s="362"/>
      <c r="E55" s="362"/>
    </row>
    <row r="56" spans="1:5">
      <c r="A56" s="198">
        <f>'Planilha - ILHÉUS'!A70</f>
        <v>6</v>
      </c>
      <c r="B56" s="199" t="str">
        <f>'Planilha - ILHÉUS'!D70</f>
        <v>JARDINAGEM</v>
      </c>
      <c r="C56" s="361"/>
      <c r="D56" s="361"/>
      <c r="E56" s="361"/>
    </row>
    <row r="57" spans="1:5">
      <c r="A57" s="198" t="str">
        <f>'Planilha - ILHÉUS'!A71</f>
        <v>6.1</v>
      </c>
      <c r="B57" s="204" t="str">
        <f>'Planilha - ILHÉUS'!B71</f>
        <v>Paisagismo</v>
      </c>
      <c r="C57" s="200"/>
      <c r="D57" s="202"/>
      <c r="E57" s="203"/>
    </row>
    <row r="58" spans="1:5">
      <c r="A58" s="200" t="str">
        <f>'Planilha - ILHÉUS'!A72</f>
        <v>6.1.1</v>
      </c>
      <c r="B58" s="201" t="str">
        <f>'Planilha - ILHÉUS'!D72</f>
        <v>Grama esmeralda em mudas, fornecimento e plantio</v>
      </c>
      <c r="C58" s="200" t="str">
        <f>'Planilha - ILHÉUS'!E72</f>
        <v>m²</v>
      </c>
      <c r="D58" s="202" t="s">
        <v>208</v>
      </c>
      <c r="E58" s="203">
        <v>116.03</v>
      </c>
    </row>
    <row r="59" spans="1:5">
      <c r="A59" s="198" t="str">
        <f>'Planilha - ILHÉUS'!A74</f>
        <v>6.2</v>
      </c>
      <c r="B59" s="204" t="str">
        <f>'Planilha - ILHÉUS'!B74</f>
        <v>Banco de alvenaria</v>
      </c>
      <c r="C59" s="200"/>
      <c r="D59" s="202"/>
      <c r="E59" s="203"/>
    </row>
    <row r="60" spans="1:5" ht="25.5">
      <c r="A60" s="200" t="str">
        <f>'Planilha - ILHÉUS'!A75</f>
        <v>5.2.1</v>
      </c>
      <c r="B60" s="201" t="str">
        <f>'Planilha - ILHÉUS'!D75</f>
        <v>Alvenaria de vedação de blocos cerâmicos furados na vertical de 14x19x39cm (espessura 14cm)</v>
      </c>
      <c r="C60" s="200" t="str">
        <f>'Planilha - ILHÉUS'!E75</f>
        <v>m²</v>
      </c>
      <c r="D60" s="202" t="s">
        <v>208</v>
      </c>
      <c r="E60" s="203">
        <v>8.48</v>
      </c>
    </row>
    <row r="61" spans="1:5" ht="38.25">
      <c r="A61" s="200" t="str">
        <f>'Planilha - ILHÉUS'!A76</f>
        <v>5.2.2</v>
      </c>
      <c r="B61" s="201" t="str">
        <f>'Planilha - ILHÉUS'!D76</f>
        <v>Chapisco aplicado em alvenaria (sem presença de vãos) e estruturas de concreto de fachada, com colher de pedreiro. argamassa traço 1:3 com preparo manual.</v>
      </c>
      <c r="C61" s="200" t="str">
        <f>'Planilha - ILHÉUS'!E76</f>
        <v>m²</v>
      </c>
      <c r="D61" s="202" t="s">
        <v>208</v>
      </c>
      <c r="E61" s="203">
        <v>8.48</v>
      </c>
    </row>
    <row r="62" spans="1:5" ht="25.5">
      <c r="A62" s="200" t="str">
        <f>'Planilha - ILHÉUS'!A77</f>
        <v>5.2.3</v>
      </c>
      <c r="B62" s="201" t="str">
        <f>'Planilha - ILHÉUS'!D77</f>
        <v>Massa única, para recebimento de pintura, em argamassa traço 1:2:8, preparo manual,</v>
      </c>
      <c r="C62" s="200" t="str">
        <f>'Planilha - ILHÉUS'!E77</f>
        <v>m²</v>
      </c>
      <c r="D62" s="202" t="s">
        <v>208</v>
      </c>
      <c r="E62" s="203">
        <v>8.48</v>
      </c>
    </row>
    <row r="63" spans="1:5" ht="25.5">
      <c r="A63" s="200" t="str">
        <f>'Planilha - ILHÉUS'!A78</f>
        <v>5.2.4</v>
      </c>
      <c r="B63" s="201" t="str">
        <f>'Planilha - ILHÉUS'!D78</f>
        <v>Aplicação manual de pintura com tinta látex acrílica em paredes, duas demãos.</v>
      </c>
      <c r="C63" s="200" t="str">
        <f>'Planilha - ILHÉUS'!E78</f>
        <v>m²</v>
      </c>
      <c r="D63" s="202" t="s">
        <v>208</v>
      </c>
      <c r="E63" s="203">
        <v>8.48</v>
      </c>
    </row>
    <row r="64" spans="1:5">
      <c r="A64" s="362"/>
      <c r="B64" s="362"/>
      <c r="C64" s="362"/>
      <c r="D64" s="362"/>
      <c r="E64" s="362"/>
    </row>
    <row r="65" spans="1:5">
      <c r="A65" s="198">
        <f>'Planilha - ILHÉUS'!A81</f>
        <v>7</v>
      </c>
      <c r="B65" s="199" t="str">
        <f>'Planilha - ILHÉUS'!D81</f>
        <v>DIVERSOS</v>
      </c>
      <c r="C65" s="361"/>
      <c r="D65" s="361"/>
      <c r="E65" s="361"/>
    </row>
    <row r="66" spans="1:5" ht="25.5">
      <c r="A66" s="200" t="str">
        <f>'Planilha - ILHÉUS'!A82</f>
        <v>7.1</v>
      </c>
      <c r="B66" s="201" t="str">
        <f>'Planilha - ILHÉUS'!D82</f>
        <v>Banco com pés em concreto pré-moldado e assento e encosto de madeira</v>
      </c>
      <c r="C66" s="200" t="str">
        <f>'Planilha - ILHÉUS'!E82</f>
        <v>un</v>
      </c>
      <c r="D66" s="202" t="s">
        <v>208</v>
      </c>
      <c r="E66" s="203">
        <v>6</v>
      </c>
    </row>
    <row r="67" spans="1:5" ht="25.5">
      <c r="A67" s="200" t="str">
        <f>'Planilha - ILHÉUS'!A83</f>
        <v>7.2</v>
      </c>
      <c r="B67" s="201" t="str">
        <f>'Planilha - ILHÉUS'!D83</f>
        <v>Conjunto com 3 lixeiras em fibra de vidro, com capacidade de 20 l cada, com tampa vai e vem</v>
      </c>
      <c r="C67" s="200" t="str">
        <f>'Planilha - ILHÉUS'!E83</f>
        <v>un</v>
      </c>
      <c r="D67" s="202" t="s">
        <v>208</v>
      </c>
      <c r="E67" s="203">
        <v>2</v>
      </c>
    </row>
    <row r="68" spans="1:5">
      <c r="A68" s="200" t="str">
        <f>'Planilha - ILHÉUS'!A84</f>
        <v>7.3</v>
      </c>
      <c r="B68" s="201" t="str">
        <f>'Planilha - ILHÉUS'!D84</f>
        <v>Limpeza de ruas (varrição e remoção de entulhos)</v>
      </c>
      <c r="C68" s="200" t="str">
        <f>'Planilha - ILHÉUS'!E84</f>
        <v>m²</v>
      </c>
      <c r="D68" s="202" t="s">
        <v>208</v>
      </c>
      <c r="E68" s="203">
        <v>795.8</v>
      </c>
    </row>
    <row r="69" spans="1:5">
      <c r="A69" s="363" t="s">
        <v>217</v>
      </c>
      <c r="B69" s="363"/>
      <c r="C69" s="363"/>
      <c r="D69" s="363"/>
      <c r="E69" s="363"/>
    </row>
  </sheetData>
  <mergeCells count="17">
    <mergeCell ref="A69:E69"/>
    <mergeCell ref="A4:E6"/>
    <mergeCell ref="C37:E37"/>
    <mergeCell ref="A55:E55"/>
    <mergeCell ref="C56:E56"/>
    <mergeCell ref="A64:E64"/>
    <mergeCell ref="C65:E65"/>
    <mergeCell ref="A12:E12"/>
    <mergeCell ref="C13:E13"/>
    <mergeCell ref="A32:E32"/>
    <mergeCell ref="C33:E33"/>
    <mergeCell ref="A36:E36"/>
    <mergeCell ref="B1:E1"/>
    <mergeCell ref="B2:E2"/>
    <mergeCell ref="B3:E3"/>
    <mergeCell ref="A7:E7"/>
    <mergeCell ref="C8:E8"/>
  </mergeCells>
  <printOptions horizontalCentered="1"/>
  <pageMargins left="0.511811023622047" right="0.511811023622047" top="0.98425196850393704" bottom="0.78740157480314998" header="0.31496062992126" footer="0.31496062992126"/>
  <pageSetup paperSize="9" scale="65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view="pageBreakPreview" zoomScale="106" zoomScaleNormal="100" zoomScaleSheetLayoutView="106" workbookViewId="0">
      <selection activeCell="A6" sqref="A6"/>
    </sheetView>
  </sheetViews>
  <sheetFormatPr defaultColWidth="9.140625" defaultRowHeight="12.75"/>
  <cols>
    <col min="1" max="1" width="9.140625" style="160"/>
    <col min="2" max="2" width="27.5703125" style="160" customWidth="1"/>
    <col min="3" max="6" width="9.140625" style="160"/>
    <col min="7" max="7" width="14.42578125" style="160" customWidth="1"/>
    <col min="8" max="10" width="9.140625" style="160"/>
    <col min="11" max="11" width="8.28515625" style="160" customWidth="1"/>
    <col min="12" max="16384" width="9.140625" style="160"/>
  </cols>
  <sheetData>
    <row r="1" spans="1:14" s="159" customFormat="1" ht="12.75" customHeight="1">
      <c r="A1" s="372" t="s">
        <v>200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4"/>
    </row>
    <row r="2" spans="1:14" s="159" customFormat="1" ht="12.75" customHeight="1">
      <c r="A2" s="372" t="s">
        <v>255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4"/>
    </row>
    <row r="3" spans="1:14" s="159" customFormat="1" ht="12.75" customHeight="1">
      <c r="A3" s="372" t="s">
        <v>201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4"/>
    </row>
    <row r="4" spans="1:14">
      <c r="A4" s="161"/>
      <c r="B4" s="162"/>
      <c r="C4" s="162"/>
      <c r="D4" s="163"/>
      <c r="E4" s="163"/>
      <c r="F4" s="164"/>
      <c r="G4" s="165"/>
      <c r="H4" s="165"/>
      <c r="I4" s="165"/>
      <c r="J4" s="165"/>
      <c r="K4" s="165"/>
      <c r="L4" s="165"/>
      <c r="M4" s="165"/>
      <c r="N4" s="190"/>
    </row>
    <row r="5" spans="1:14" ht="55.5" customHeight="1">
      <c r="A5" s="375" t="str">
        <f>'Planilha - ILHÉUS'!A5:I5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76"/>
    </row>
    <row r="6" spans="1:14">
      <c r="A6" s="166"/>
      <c r="B6" s="167"/>
      <c r="C6" s="167"/>
      <c r="D6" s="168"/>
      <c r="E6" s="169"/>
      <c r="F6" s="170"/>
      <c r="G6" s="170"/>
      <c r="H6" s="170"/>
      <c r="I6" s="170"/>
      <c r="J6" s="165"/>
      <c r="K6" s="165"/>
      <c r="L6" s="165"/>
      <c r="M6" s="165"/>
      <c r="N6" s="190"/>
    </row>
    <row r="7" spans="1:14" ht="26.25" customHeight="1">
      <c r="A7" s="369" t="s">
        <v>256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1"/>
    </row>
    <row r="8" spans="1:14" ht="12.75" customHeight="1">
      <c r="A8" s="369"/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1"/>
    </row>
    <row r="9" spans="1:14">
      <c r="A9" s="171"/>
      <c r="B9" s="172"/>
      <c r="C9" s="377" t="s">
        <v>502</v>
      </c>
      <c r="D9" s="377"/>
      <c r="E9" s="377"/>
      <c r="F9" s="377"/>
      <c r="G9" s="377"/>
      <c r="H9" s="377"/>
      <c r="I9" s="377"/>
      <c r="J9" s="377"/>
      <c r="K9" s="165"/>
      <c r="L9" s="165"/>
      <c r="M9" s="165"/>
      <c r="N9" s="190"/>
    </row>
    <row r="10" spans="1:14" ht="20.25">
      <c r="A10" s="364"/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6"/>
    </row>
    <row r="11" spans="1:14" ht="23.25">
      <c r="A11" s="173"/>
      <c r="B11" s="174"/>
      <c r="C11" s="174"/>
      <c r="D11" s="174"/>
      <c r="E11" s="174"/>
      <c r="F11" s="174"/>
      <c r="G11" s="165"/>
      <c r="H11" s="165"/>
      <c r="I11" s="165"/>
      <c r="J11" s="165"/>
      <c r="K11" s="165"/>
      <c r="L11" s="165"/>
      <c r="M11" s="165"/>
      <c r="N11" s="190"/>
    </row>
    <row r="12" spans="1:14">
      <c r="A12" s="175" t="s">
        <v>257</v>
      </c>
      <c r="B12" s="176"/>
      <c r="C12" s="177" t="s">
        <v>258</v>
      </c>
      <c r="D12" s="176"/>
      <c r="E12" s="178"/>
      <c r="F12" s="178"/>
      <c r="G12" s="165"/>
      <c r="H12" s="165"/>
      <c r="I12" s="165"/>
      <c r="J12" s="165"/>
      <c r="K12" s="165"/>
      <c r="L12" s="165"/>
      <c r="M12" s="165"/>
      <c r="N12" s="190"/>
    </row>
    <row r="13" spans="1:14">
      <c r="A13" s="175" t="s">
        <v>259</v>
      </c>
      <c r="B13" s="176"/>
      <c r="C13" s="177" t="s">
        <v>271</v>
      </c>
      <c r="D13" s="176"/>
      <c r="E13" s="178"/>
      <c r="F13" s="178"/>
      <c r="G13" s="165"/>
      <c r="H13" s="165"/>
      <c r="I13" s="165"/>
      <c r="J13" s="165"/>
      <c r="K13" s="165"/>
      <c r="L13" s="165"/>
      <c r="M13" s="165"/>
      <c r="N13" s="190"/>
    </row>
    <row r="14" spans="1:14">
      <c r="A14" s="179" t="s">
        <v>260</v>
      </c>
      <c r="B14" s="180"/>
      <c r="C14" s="181">
        <v>271</v>
      </c>
      <c r="D14" s="180" t="s">
        <v>261</v>
      </c>
      <c r="E14" s="165"/>
      <c r="F14" s="165"/>
      <c r="G14" s="165"/>
      <c r="H14" s="165"/>
      <c r="I14" s="165"/>
      <c r="J14" s="165"/>
      <c r="K14" s="165"/>
      <c r="L14" s="165"/>
      <c r="M14" s="165"/>
      <c r="N14" s="190"/>
    </row>
    <row r="15" spans="1:14">
      <c r="A15" s="179"/>
      <c r="B15" s="180"/>
      <c r="C15" s="182"/>
      <c r="D15" s="180"/>
      <c r="E15" s="165"/>
      <c r="F15" s="165"/>
      <c r="G15" s="165"/>
      <c r="H15" s="165"/>
      <c r="I15" s="165"/>
      <c r="J15" s="165"/>
      <c r="K15" s="165"/>
      <c r="L15" s="165"/>
      <c r="M15" s="165"/>
      <c r="N15" s="190"/>
    </row>
    <row r="16" spans="1:14">
      <c r="A16" s="179" t="s">
        <v>262</v>
      </c>
      <c r="B16" s="180"/>
      <c r="C16" s="183">
        <f>SUM(C14:C15)</f>
        <v>271</v>
      </c>
      <c r="D16" s="180" t="s">
        <v>261</v>
      </c>
      <c r="E16" s="165"/>
      <c r="F16" s="165"/>
      <c r="G16" s="165"/>
      <c r="H16" s="165"/>
      <c r="I16" s="165"/>
      <c r="J16" s="165"/>
      <c r="K16" s="165"/>
      <c r="L16" s="165"/>
      <c r="M16" s="165"/>
      <c r="N16" s="190"/>
    </row>
    <row r="17" spans="1:14">
      <c r="A17" s="179"/>
      <c r="B17" s="180"/>
      <c r="C17" s="180"/>
      <c r="D17" s="180"/>
      <c r="E17" s="165"/>
      <c r="F17" s="165"/>
      <c r="G17" s="165"/>
      <c r="H17" s="165"/>
      <c r="I17" s="165"/>
      <c r="J17" s="165"/>
      <c r="K17" s="165"/>
      <c r="L17" s="165"/>
      <c r="M17" s="165"/>
      <c r="N17" s="190"/>
    </row>
    <row r="18" spans="1:14">
      <c r="A18" s="179" t="s">
        <v>263</v>
      </c>
      <c r="B18" s="180"/>
      <c r="C18" s="180" t="s">
        <v>267</v>
      </c>
      <c r="D18" s="180"/>
      <c r="F18" s="180"/>
      <c r="G18" s="180"/>
      <c r="H18" s="181">
        <v>7.2</v>
      </c>
      <c r="I18" s="180" t="s">
        <v>265</v>
      </c>
      <c r="J18" s="165"/>
      <c r="K18" s="165"/>
      <c r="L18" s="165"/>
      <c r="M18" s="165"/>
      <c r="N18" s="190"/>
    </row>
    <row r="19" spans="1:14">
      <c r="A19" s="179" t="s">
        <v>263</v>
      </c>
      <c r="B19" s="180"/>
      <c r="C19" s="180" t="s">
        <v>264</v>
      </c>
      <c r="D19" s="180"/>
      <c r="F19" s="180"/>
      <c r="G19" s="180"/>
      <c r="H19" s="181">
        <v>2.4</v>
      </c>
      <c r="I19" s="180" t="s">
        <v>265</v>
      </c>
      <c r="J19" s="165"/>
      <c r="K19" s="165"/>
      <c r="L19" s="165"/>
      <c r="M19" s="165"/>
      <c r="N19" s="190"/>
    </row>
    <row r="20" spans="1:14">
      <c r="A20" s="179" t="s">
        <v>263</v>
      </c>
      <c r="B20" s="180"/>
      <c r="C20" s="180" t="s">
        <v>266</v>
      </c>
      <c r="D20" s="180"/>
      <c r="F20" s="180"/>
      <c r="G20" s="180"/>
      <c r="H20" s="181">
        <v>11.5</v>
      </c>
      <c r="I20" s="180" t="s">
        <v>265</v>
      </c>
      <c r="J20" s="165"/>
      <c r="K20" s="165"/>
      <c r="L20" s="165"/>
      <c r="M20" s="165"/>
      <c r="N20" s="190"/>
    </row>
    <row r="21" spans="1:14">
      <c r="A21" s="179" t="s">
        <v>263</v>
      </c>
      <c r="B21" s="180"/>
      <c r="C21" s="180" t="s">
        <v>268</v>
      </c>
      <c r="D21" s="180"/>
      <c r="F21" s="180"/>
      <c r="G21" s="180"/>
      <c r="H21" s="181">
        <v>10.4</v>
      </c>
      <c r="I21" s="180" t="s">
        <v>265</v>
      </c>
      <c r="J21" s="165"/>
      <c r="K21" s="165"/>
      <c r="L21" s="165"/>
      <c r="M21" s="165"/>
      <c r="N21" s="190"/>
    </row>
    <row r="22" spans="1:14">
      <c r="A22" s="184"/>
      <c r="B22" s="165"/>
      <c r="C22" s="165"/>
      <c r="D22" s="165"/>
      <c r="E22" s="180"/>
      <c r="F22" s="180"/>
      <c r="G22" s="180"/>
      <c r="H22" s="185"/>
      <c r="I22" s="180"/>
      <c r="J22" s="165"/>
      <c r="K22" s="165"/>
      <c r="L22" s="165"/>
      <c r="M22" s="165"/>
      <c r="N22" s="190"/>
    </row>
    <row r="23" spans="1:14">
      <c r="A23" s="184"/>
      <c r="B23" s="165"/>
      <c r="C23" s="165"/>
      <c r="D23" s="165"/>
      <c r="E23" s="186" t="s">
        <v>269</v>
      </c>
      <c r="F23" s="180"/>
      <c r="G23" s="180"/>
      <c r="H23" s="183">
        <f>SUM(H18:H21)</f>
        <v>31.5</v>
      </c>
      <c r="I23" s="180" t="s">
        <v>265</v>
      </c>
      <c r="J23" s="165"/>
      <c r="K23" s="165"/>
      <c r="L23" s="165"/>
      <c r="M23" s="165"/>
      <c r="N23" s="191"/>
    </row>
    <row r="24" spans="1:14">
      <c r="A24" s="184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90"/>
    </row>
    <row r="25" spans="1:14">
      <c r="A25" s="18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90"/>
    </row>
    <row r="26" spans="1:14" ht="15.75">
      <c r="A26" s="187" t="str">
        <f>"Momento de transporte  =  "&amp;TEXT(H23,"0,00")&amp;"  x  "&amp;TEXT(C16,"0,00")&amp;"            =&gt;"</f>
        <v>Momento de transporte  =  31,50  x  271,00            =&gt;</v>
      </c>
      <c r="B26" s="188"/>
      <c r="C26" s="188"/>
      <c r="D26" s="188"/>
      <c r="E26" s="188"/>
      <c r="F26" s="367">
        <f>ROUND(C16*H23,2)</f>
        <v>8536.5</v>
      </c>
      <c r="G26" s="368"/>
      <c r="H26" s="189" t="s">
        <v>270</v>
      </c>
      <c r="I26" s="188"/>
      <c r="J26" s="188"/>
      <c r="K26" s="188"/>
      <c r="L26" s="188"/>
      <c r="M26" s="188"/>
      <c r="N26" s="192"/>
    </row>
  </sheetData>
  <mergeCells count="8">
    <mergeCell ref="A10:N10"/>
    <mergeCell ref="F26:G26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52"/>
  <sheetViews>
    <sheetView view="pageBreakPreview" zoomScaleNormal="100" zoomScaleSheetLayoutView="100" workbookViewId="0">
      <selection activeCell="D28" sqref="D28"/>
    </sheetView>
  </sheetViews>
  <sheetFormatPr defaultColWidth="9" defaultRowHeight="12.75"/>
  <cols>
    <col min="1" max="3" width="13.28515625" customWidth="1"/>
    <col min="4" max="4" width="52.7109375" customWidth="1"/>
    <col min="6" max="6" width="18.42578125" customWidth="1"/>
    <col min="7" max="7" width="19.7109375" customWidth="1"/>
    <col min="8" max="8" width="19.42578125" customWidth="1"/>
    <col min="10" max="10" width="12.85546875"/>
  </cols>
  <sheetData>
    <row r="1" spans="1:8">
      <c r="A1" s="1"/>
      <c r="B1" s="2"/>
      <c r="C1" s="2"/>
      <c r="D1" s="401" t="s">
        <v>503</v>
      </c>
      <c r="E1" s="402"/>
      <c r="F1" s="402"/>
      <c r="G1" s="402"/>
      <c r="H1" s="403"/>
    </row>
    <row r="2" spans="1:8">
      <c r="A2" s="3"/>
      <c r="B2" s="4"/>
      <c r="C2" s="4"/>
      <c r="D2" s="404" t="s">
        <v>273</v>
      </c>
      <c r="E2" s="405"/>
      <c r="F2" s="405"/>
      <c r="G2" s="405"/>
      <c r="H2" s="406"/>
    </row>
    <row r="3" spans="1:8">
      <c r="A3" s="3"/>
      <c r="B3" s="4"/>
      <c r="C3" s="4"/>
      <c r="D3" s="404" t="s">
        <v>274</v>
      </c>
      <c r="E3" s="405"/>
      <c r="F3" s="405"/>
      <c r="G3" s="405"/>
      <c r="H3" s="406"/>
    </row>
    <row r="4" spans="1:8">
      <c r="A4" s="3"/>
      <c r="B4" s="4"/>
      <c r="C4" s="4"/>
      <c r="D4" s="4"/>
      <c r="E4" s="4"/>
      <c r="F4" s="4"/>
      <c r="G4" s="4"/>
      <c r="H4" s="5"/>
    </row>
    <row r="5" spans="1:8" ht="15.75">
      <c r="A5" s="407" t="s">
        <v>509</v>
      </c>
      <c r="B5" s="408"/>
      <c r="C5" s="408"/>
      <c r="D5" s="408"/>
      <c r="E5" s="408"/>
      <c r="F5" s="408"/>
      <c r="G5" s="408"/>
      <c r="H5" s="409"/>
    </row>
    <row r="6" spans="1:8" ht="15.75">
      <c r="A6" s="6"/>
      <c r="B6" s="7"/>
      <c r="C6" s="7"/>
      <c r="D6" s="7"/>
      <c r="E6" s="7"/>
      <c r="F6" s="7"/>
      <c r="G6" s="7"/>
      <c r="H6" s="8"/>
    </row>
    <row r="7" spans="1:8" ht="42.95" customHeight="1">
      <c r="A7" s="410" t="str">
        <f>'Planilha - ILHÉUS'!A5:I5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411"/>
      <c r="C7" s="411"/>
      <c r="D7" s="411"/>
      <c r="E7" s="411"/>
      <c r="F7" s="411"/>
      <c r="G7" s="411"/>
      <c r="H7" s="412"/>
    </row>
    <row r="8" spans="1:8" ht="15.75">
      <c r="A8" s="6"/>
      <c r="B8" s="7"/>
      <c r="C8" s="7"/>
      <c r="D8" s="7"/>
      <c r="E8" s="7"/>
      <c r="F8" s="7"/>
      <c r="G8" s="7"/>
      <c r="H8" s="8"/>
    </row>
    <row r="9" spans="1:8" ht="21.95" customHeight="1">
      <c r="A9" s="3"/>
      <c r="B9" s="4"/>
      <c r="C9" s="7"/>
      <c r="D9" s="7"/>
      <c r="E9" s="4"/>
      <c r="F9" s="413" t="s">
        <v>275</v>
      </c>
      <c r="G9" s="414"/>
      <c r="H9" s="9">
        <f>BDI!D36</f>
        <v>0.21378112315270936</v>
      </c>
    </row>
    <row r="10" spans="1:8" ht="21.95" customHeight="1">
      <c r="A10" s="3"/>
      <c r="B10" s="4"/>
      <c r="C10" s="7"/>
      <c r="D10" s="7"/>
      <c r="E10" s="4"/>
      <c r="F10" s="415" t="s">
        <v>276</v>
      </c>
      <c r="G10" s="416"/>
      <c r="H10" s="10">
        <f>'ENC SOCIAIS'!F52</f>
        <v>1.1446999999999998</v>
      </c>
    </row>
    <row r="11" spans="1:8" ht="21.95" customHeight="1">
      <c r="A11" s="11" t="s">
        <v>8</v>
      </c>
      <c r="B11" s="320" t="s">
        <v>499</v>
      </c>
      <c r="C11" s="320"/>
      <c r="D11" s="320"/>
      <c r="E11" s="4"/>
      <c r="F11" s="417" t="s">
        <v>436</v>
      </c>
      <c r="G11" s="418"/>
      <c r="H11" s="419"/>
    </row>
    <row r="12" spans="1:8" ht="15" customHeight="1">
      <c r="A12" s="3"/>
      <c r="B12" s="4"/>
      <c r="C12" s="4"/>
      <c r="D12" s="4"/>
      <c r="E12" s="4"/>
      <c r="F12" s="4"/>
      <c r="G12" s="4"/>
      <c r="H12" s="5"/>
    </row>
    <row r="13" spans="1:8" ht="21.95" customHeight="1">
      <c r="A13" s="139" t="s">
        <v>287</v>
      </c>
      <c r="B13" s="139" t="s">
        <v>277</v>
      </c>
      <c r="C13" s="139" t="s">
        <v>12</v>
      </c>
      <c r="D13" s="140" t="s">
        <v>288</v>
      </c>
      <c r="E13" s="139" t="s">
        <v>14</v>
      </c>
      <c r="F13" s="141" t="s">
        <v>15</v>
      </c>
      <c r="G13" s="141" t="s">
        <v>278</v>
      </c>
      <c r="H13" s="141" t="s">
        <v>279</v>
      </c>
    </row>
    <row r="14" spans="1:8" ht="21.95" customHeight="1">
      <c r="A14" s="142" t="s">
        <v>280</v>
      </c>
      <c r="B14" s="142" t="s">
        <v>26</v>
      </c>
      <c r="C14" s="142">
        <v>90776</v>
      </c>
      <c r="D14" s="143" t="s">
        <v>281</v>
      </c>
      <c r="E14" s="142" t="s">
        <v>283</v>
      </c>
      <c r="F14" s="144">
        <v>90</v>
      </c>
      <c r="G14" s="152">
        <v>31.19</v>
      </c>
      <c r="H14" s="145">
        <f>ROUND(F14*G14,2)</f>
        <v>2807.1</v>
      </c>
    </row>
    <row r="15" spans="1:8" ht="24">
      <c r="A15" s="142" t="s">
        <v>280</v>
      </c>
      <c r="B15" s="142" t="s">
        <v>26</v>
      </c>
      <c r="C15" s="142">
        <v>90777</v>
      </c>
      <c r="D15" s="143" t="s">
        <v>282</v>
      </c>
      <c r="E15" s="142" t="s">
        <v>283</v>
      </c>
      <c r="F15" s="144">
        <v>8</v>
      </c>
      <c r="G15" s="152">
        <v>93.77</v>
      </c>
      <c r="H15" s="145">
        <f>ROUND(F15*G15,2)</f>
        <v>750.16</v>
      </c>
    </row>
    <row r="16" spans="1:8" ht="21.95" customHeight="1">
      <c r="A16" s="3"/>
      <c r="B16" s="4"/>
      <c r="C16" s="4"/>
      <c r="D16" s="4"/>
      <c r="E16" s="420" t="s">
        <v>284</v>
      </c>
      <c r="F16" s="421"/>
      <c r="G16" s="422"/>
      <c r="H16" s="146">
        <f>ROUND(SUM(H14:H15),2)</f>
        <v>3557.26</v>
      </c>
    </row>
    <row r="17" spans="1:10" ht="21.95" customHeight="1">
      <c r="A17" s="3"/>
      <c r="B17" s="4"/>
      <c r="C17" s="4"/>
      <c r="D17" s="4"/>
      <c r="E17" s="423">
        <f>$H$9</f>
        <v>0.21378112315270936</v>
      </c>
      <c r="F17" s="421"/>
      <c r="G17" s="422"/>
      <c r="H17" s="147">
        <f>ROUND((E17*H16),2)</f>
        <v>760.48</v>
      </c>
    </row>
    <row r="18" spans="1:10" ht="21.95" customHeight="1">
      <c r="A18" s="3"/>
      <c r="B18" s="4"/>
      <c r="C18" s="4"/>
      <c r="D18" s="4"/>
      <c r="E18" s="420" t="s">
        <v>284</v>
      </c>
      <c r="F18" s="421"/>
      <c r="G18" s="422"/>
      <c r="H18" s="146">
        <f>ROUND(H16+H17,2)</f>
        <v>4317.74</v>
      </c>
    </row>
    <row r="19" spans="1:10" ht="21.95" customHeight="1">
      <c r="A19" s="3"/>
      <c r="B19" s="4"/>
      <c r="C19" s="4"/>
      <c r="D19" s="4"/>
      <c r="E19" s="420" t="s">
        <v>285</v>
      </c>
      <c r="F19" s="421"/>
      <c r="G19" s="422"/>
      <c r="H19" s="148">
        <f>ROUND(H18*3,2)</f>
        <v>12953.22</v>
      </c>
    </row>
    <row r="20" spans="1:10" ht="21.95" customHeight="1">
      <c r="A20" s="3"/>
      <c r="B20" s="4"/>
      <c r="C20" s="4"/>
      <c r="D20" s="4"/>
      <c r="E20" s="420" t="s">
        <v>286</v>
      </c>
      <c r="F20" s="421"/>
      <c r="G20" s="422"/>
      <c r="H20" s="149">
        <f>H19</f>
        <v>12953.22</v>
      </c>
      <c r="J20" s="153">
        <f>H20/'Planilha - ILHÉUS'!J87</f>
        <v>6.4829779050472325E-2</v>
      </c>
    </row>
    <row r="21" spans="1:10" ht="43.5" customHeight="1">
      <c r="A21" s="139" t="s">
        <v>157</v>
      </c>
      <c r="B21" s="139" t="s">
        <v>277</v>
      </c>
      <c r="C21" s="139" t="s">
        <v>12</v>
      </c>
      <c r="D21" s="140" t="s">
        <v>296</v>
      </c>
      <c r="E21" s="139" t="s">
        <v>14</v>
      </c>
      <c r="F21" s="141" t="s">
        <v>15</v>
      </c>
      <c r="G21" s="141" t="s">
        <v>278</v>
      </c>
      <c r="H21" s="141" t="s">
        <v>279</v>
      </c>
    </row>
    <row r="22" spans="1:10" ht="24">
      <c r="A22" s="142" t="s">
        <v>280</v>
      </c>
      <c r="B22" s="142" t="s">
        <v>63</v>
      </c>
      <c r="C22" s="150" t="s">
        <v>289</v>
      </c>
      <c r="D22" s="143" t="s">
        <v>290</v>
      </c>
      <c r="E22" s="142" t="s">
        <v>291</v>
      </c>
      <c r="F22" s="151">
        <v>1.5</v>
      </c>
      <c r="G22" s="152">
        <v>213.5</v>
      </c>
      <c r="H22" s="145">
        <f>ROUND(F22*G22,2)</f>
        <v>320.25</v>
      </c>
    </row>
    <row r="23" spans="1:10" ht="24">
      <c r="A23" s="142" t="s">
        <v>280</v>
      </c>
      <c r="B23" s="142" t="s">
        <v>63</v>
      </c>
      <c r="C23" s="150" t="s">
        <v>292</v>
      </c>
      <c r="D23" s="143" t="s">
        <v>293</v>
      </c>
      <c r="E23" s="142" t="s">
        <v>291</v>
      </c>
      <c r="F23" s="151">
        <v>1.5</v>
      </c>
      <c r="G23" s="152">
        <v>251.03</v>
      </c>
      <c r="H23" s="145">
        <f>ROUND(F23*G23,2)</f>
        <v>376.55</v>
      </c>
    </row>
    <row r="24" spans="1:10" ht="36">
      <c r="A24" s="142" t="s">
        <v>280</v>
      </c>
      <c r="B24" s="142" t="s">
        <v>63</v>
      </c>
      <c r="C24" s="150">
        <v>5914640</v>
      </c>
      <c r="D24" s="143" t="s">
        <v>294</v>
      </c>
      <c r="E24" s="142" t="s">
        <v>295</v>
      </c>
      <c r="F24" s="151">
        <f>'Mobilização - ILHÉUS'!F26:G26</f>
        <v>8536.5</v>
      </c>
      <c r="G24" s="152">
        <v>0.41</v>
      </c>
      <c r="H24" s="145">
        <f>ROUND(F24*G24,2)</f>
        <v>3499.97</v>
      </c>
    </row>
    <row r="25" spans="1:10" ht="21.95" customHeight="1">
      <c r="A25" s="3"/>
      <c r="B25" s="4"/>
      <c r="C25" s="4"/>
      <c r="D25" s="4"/>
      <c r="E25" s="420" t="s">
        <v>284</v>
      </c>
      <c r="F25" s="421"/>
      <c r="G25" s="422"/>
      <c r="H25" s="146">
        <f>SUM(H22:H24)</f>
        <v>4196.7699999999995</v>
      </c>
    </row>
    <row r="26" spans="1:10" ht="21.95" customHeight="1">
      <c r="A26" s="3"/>
      <c r="B26" s="4"/>
      <c r="C26" s="4"/>
      <c r="D26" s="4"/>
      <c r="E26" s="423">
        <f>$H$9</f>
        <v>0.21378112315270936</v>
      </c>
      <c r="F26" s="421"/>
      <c r="G26" s="422"/>
      <c r="H26" s="147">
        <f>ROUND((E26*H25),2)</f>
        <v>897.19</v>
      </c>
    </row>
    <row r="27" spans="1:10" ht="21.95" customHeight="1">
      <c r="A27" s="3"/>
      <c r="B27" s="4"/>
      <c r="C27" s="4"/>
      <c r="D27" s="4"/>
      <c r="E27" s="420" t="s">
        <v>286</v>
      </c>
      <c r="F27" s="421"/>
      <c r="G27" s="422"/>
      <c r="H27" s="149">
        <f>ROUND(SUM(H25:H26),2)</f>
        <v>5093.96</v>
      </c>
    </row>
    <row r="28" spans="1:10" ht="35.25" customHeight="1">
      <c r="A28" s="139" t="s">
        <v>36</v>
      </c>
      <c r="B28" s="139" t="s">
        <v>277</v>
      </c>
      <c r="C28" s="139" t="s">
        <v>12</v>
      </c>
      <c r="D28" s="140" t="s">
        <v>297</v>
      </c>
      <c r="E28" s="139" t="s">
        <v>14</v>
      </c>
      <c r="F28" s="141" t="s">
        <v>15</v>
      </c>
      <c r="G28" s="141" t="s">
        <v>278</v>
      </c>
      <c r="H28" s="141" t="s">
        <v>279</v>
      </c>
    </row>
    <row r="29" spans="1:10">
      <c r="A29" s="142" t="s">
        <v>298</v>
      </c>
      <c r="B29" s="142" t="s">
        <v>26</v>
      </c>
      <c r="C29" s="142">
        <v>5075</v>
      </c>
      <c r="D29" s="143" t="s">
        <v>299</v>
      </c>
      <c r="E29" s="142" t="s">
        <v>300</v>
      </c>
      <c r="F29" s="151">
        <v>0.11</v>
      </c>
      <c r="G29" s="152">
        <v>19.73</v>
      </c>
      <c r="H29" s="145">
        <f t="shared" ref="H29:H38" si="0">ROUND(F29*G29,2)</f>
        <v>2.17</v>
      </c>
    </row>
    <row r="30" spans="1:10" ht="27" customHeight="1">
      <c r="A30" s="142" t="s">
        <v>298</v>
      </c>
      <c r="B30" s="142" t="s">
        <v>26</v>
      </c>
      <c r="C30" s="142">
        <v>4491</v>
      </c>
      <c r="D30" s="143" t="s">
        <v>301</v>
      </c>
      <c r="E30" s="142" t="s">
        <v>54</v>
      </c>
      <c r="F30" s="151">
        <v>4</v>
      </c>
      <c r="G30" s="152">
        <v>8.83</v>
      </c>
      <c r="H30" s="145">
        <f t="shared" si="0"/>
        <v>35.32</v>
      </c>
    </row>
    <row r="31" spans="1:10" ht="27" customHeight="1">
      <c r="A31" s="142" t="s">
        <v>298</v>
      </c>
      <c r="B31" s="142" t="s">
        <v>26</v>
      </c>
      <c r="C31" s="142">
        <v>4417</v>
      </c>
      <c r="D31" s="143" t="s">
        <v>302</v>
      </c>
      <c r="E31" s="142" t="s">
        <v>54</v>
      </c>
      <c r="F31" s="151">
        <v>1</v>
      </c>
      <c r="G31" s="152">
        <v>8.9499999999999993</v>
      </c>
      <c r="H31" s="145">
        <f t="shared" si="0"/>
        <v>8.9499999999999993</v>
      </c>
    </row>
    <row r="32" spans="1:10" ht="27" customHeight="1">
      <c r="A32" s="142" t="s">
        <v>298</v>
      </c>
      <c r="B32" s="142" t="s">
        <v>26</v>
      </c>
      <c r="C32" s="142">
        <v>4813</v>
      </c>
      <c r="D32" s="143" t="s">
        <v>303</v>
      </c>
      <c r="E32" s="142" t="s">
        <v>38</v>
      </c>
      <c r="F32" s="151">
        <v>1</v>
      </c>
      <c r="G32" s="152">
        <v>262.5</v>
      </c>
      <c r="H32" s="145">
        <f t="shared" si="0"/>
        <v>262.5</v>
      </c>
    </row>
    <row r="33" spans="1:8" ht="27" customHeight="1">
      <c r="A33" s="142" t="s">
        <v>298</v>
      </c>
      <c r="B33" s="142" t="s">
        <v>26</v>
      </c>
      <c r="C33" s="142">
        <v>370</v>
      </c>
      <c r="D33" s="143" t="s">
        <v>304</v>
      </c>
      <c r="E33" s="142" t="s">
        <v>52</v>
      </c>
      <c r="F33" s="151">
        <v>4.8999999999999998E-3</v>
      </c>
      <c r="G33" s="152">
        <v>100</v>
      </c>
      <c r="H33" s="145">
        <f t="shared" si="0"/>
        <v>0.49</v>
      </c>
    </row>
    <row r="34" spans="1:8" ht="27" customHeight="1">
      <c r="A34" s="142" t="s">
        <v>298</v>
      </c>
      <c r="B34" s="142" t="s">
        <v>26</v>
      </c>
      <c r="C34" s="142">
        <v>1379</v>
      </c>
      <c r="D34" s="143" t="s">
        <v>305</v>
      </c>
      <c r="E34" s="142" t="s">
        <v>300</v>
      </c>
      <c r="F34" s="151">
        <v>1.5</v>
      </c>
      <c r="G34" s="152">
        <v>0.75</v>
      </c>
      <c r="H34" s="145">
        <f t="shared" si="0"/>
        <v>1.1299999999999999</v>
      </c>
    </row>
    <row r="35" spans="1:8">
      <c r="A35" s="142" t="s">
        <v>298</v>
      </c>
      <c r="B35" s="142" t="s">
        <v>26</v>
      </c>
      <c r="C35" s="142">
        <v>4718</v>
      </c>
      <c r="D35" s="143" t="s">
        <v>306</v>
      </c>
      <c r="E35" s="142" t="s">
        <v>52</v>
      </c>
      <c r="F35" s="151">
        <v>9.7999999999999997E-3</v>
      </c>
      <c r="G35" s="152">
        <v>70.02</v>
      </c>
      <c r="H35" s="145">
        <f t="shared" si="0"/>
        <v>0.69</v>
      </c>
    </row>
    <row r="36" spans="1:8" ht="24">
      <c r="A36" s="142" t="s">
        <v>307</v>
      </c>
      <c r="B36" s="142" t="s">
        <v>26</v>
      </c>
      <c r="C36" s="142">
        <v>87445</v>
      </c>
      <c r="D36" s="143" t="s">
        <v>308</v>
      </c>
      <c r="E36" s="142" t="s">
        <v>309</v>
      </c>
      <c r="F36" s="151">
        <v>6.4999999999999997E-3</v>
      </c>
      <c r="G36" s="152">
        <v>4.51</v>
      </c>
      <c r="H36" s="145">
        <f t="shared" si="0"/>
        <v>0.03</v>
      </c>
    </row>
    <row r="37" spans="1:8" ht="27" customHeight="1">
      <c r="A37" s="142" t="s">
        <v>307</v>
      </c>
      <c r="B37" s="142" t="s">
        <v>26</v>
      </c>
      <c r="C37" s="142">
        <v>88262</v>
      </c>
      <c r="D37" s="143" t="s">
        <v>310</v>
      </c>
      <c r="E37" s="142" t="s">
        <v>309</v>
      </c>
      <c r="F37" s="151">
        <v>1</v>
      </c>
      <c r="G37" s="152">
        <v>26.39</v>
      </c>
      <c r="H37" s="145">
        <f t="shared" si="0"/>
        <v>26.39</v>
      </c>
    </row>
    <row r="38" spans="1:8" ht="27" customHeight="1">
      <c r="A38" s="142" t="s">
        <v>307</v>
      </c>
      <c r="B38" s="142" t="s">
        <v>26</v>
      </c>
      <c r="C38" s="142">
        <v>88316</v>
      </c>
      <c r="D38" s="143" t="s">
        <v>311</v>
      </c>
      <c r="E38" s="142" t="s">
        <v>309</v>
      </c>
      <c r="F38" s="151">
        <v>2.06</v>
      </c>
      <c r="G38" s="152">
        <v>18.79</v>
      </c>
      <c r="H38" s="145">
        <f t="shared" si="0"/>
        <v>38.71</v>
      </c>
    </row>
    <row r="39" spans="1:8" ht="21.95" customHeight="1">
      <c r="A39" s="3"/>
      <c r="B39" s="4"/>
      <c r="C39" s="4"/>
      <c r="D39" s="4"/>
      <c r="E39" s="420" t="s">
        <v>284</v>
      </c>
      <c r="F39" s="421"/>
      <c r="G39" s="422"/>
      <c r="H39" s="146">
        <f>SUM(H29:H38)</f>
        <v>376.37999999999994</v>
      </c>
    </row>
    <row r="40" spans="1:8" ht="21.95" customHeight="1">
      <c r="A40" s="3"/>
      <c r="B40" s="4"/>
      <c r="C40" s="4"/>
      <c r="D40" s="4"/>
      <c r="E40" s="423">
        <f>H9</f>
        <v>0.21378112315270936</v>
      </c>
      <c r="F40" s="421"/>
      <c r="G40" s="422"/>
      <c r="H40" s="147">
        <f>ROUND((E40*H39),2)</f>
        <v>80.459999999999994</v>
      </c>
    </row>
    <row r="41" spans="1:8" ht="21.95" customHeight="1">
      <c r="A41" s="155"/>
      <c r="B41" s="156"/>
      <c r="C41" s="156"/>
      <c r="D41" s="156"/>
      <c r="E41" s="420" t="s">
        <v>286</v>
      </c>
      <c r="F41" s="421"/>
      <c r="G41" s="422"/>
      <c r="H41" s="149">
        <f>ROUND(H39+H40,2)</f>
        <v>456.84</v>
      </c>
    </row>
    <row r="43" spans="1:8" ht="35.25" customHeight="1">
      <c r="A43" s="139" t="s">
        <v>40</v>
      </c>
      <c r="B43" s="139" t="s">
        <v>277</v>
      </c>
      <c r="C43" s="139" t="s">
        <v>12</v>
      </c>
      <c r="D43" s="140" t="s">
        <v>312</v>
      </c>
      <c r="E43" s="139" t="s">
        <v>14</v>
      </c>
      <c r="F43" s="141" t="s">
        <v>15</v>
      </c>
      <c r="G43" s="141" t="s">
        <v>278</v>
      </c>
      <c r="H43" s="141" t="s">
        <v>279</v>
      </c>
    </row>
    <row r="44" spans="1:8" ht="36">
      <c r="A44" s="142" t="s">
        <v>298</v>
      </c>
      <c r="B44" s="142" t="s">
        <v>26</v>
      </c>
      <c r="C44" s="142">
        <v>20206</v>
      </c>
      <c r="D44" s="143" t="s">
        <v>313</v>
      </c>
      <c r="E44" s="142" t="s">
        <v>54</v>
      </c>
      <c r="F44" s="157">
        <v>2.8860000000000001E-3</v>
      </c>
      <c r="G44" s="152">
        <v>11.31</v>
      </c>
      <c r="H44" s="145">
        <f t="shared" ref="H44:H49" si="1">ROUND(F44*G44,2)</f>
        <v>0.03</v>
      </c>
    </row>
    <row r="45" spans="1:8" ht="27" customHeight="1">
      <c r="A45" s="142" t="s">
        <v>307</v>
      </c>
      <c r="B45" s="142" t="s">
        <v>26</v>
      </c>
      <c r="C45" s="142">
        <v>88253</v>
      </c>
      <c r="D45" s="143" t="s">
        <v>314</v>
      </c>
      <c r="E45" s="142" t="s">
        <v>309</v>
      </c>
      <c r="F45" s="157">
        <v>2.5000000000000001E-3</v>
      </c>
      <c r="G45" s="152">
        <v>13.6</v>
      </c>
      <c r="H45" s="145">
        <f t="shared" si="1"/>
        <v>0.03</v>
      </c>
    </row>
    <row r="46" spans="1:8" ht="27" customHeight="1">
      <c r="A46" s="142" t="s">
        <v>307</v>
      </c>
      <c r="B46" s="142" t="s">
        <v>26</v>
      </c>
      <c r="C46" s="142">
        <v>88288</v>
      </c>
      <c r="D46" s="143" t="s">
        <v>315</v>
      </c>
      <c r="E46" s="142" t="s">
        <v>309</v>
      </c>
      <c r="F46" s="157">
        <v>2.5000000000000001E-3</v>
      </c>
      <c r="G46" s="152">
        <v>16.73</v>
      </c>
      <c r="H46" s="145">
        <f t="shared" si="1"/>
        <v>0.04</v>
      </c>
    </row>
    <row r="47" spans="1:8" ht="27" customHeight="1">
      <c r="A47" s="142" t="s">
        <v>307</v>
      </c>
      <c r="B47" s="142" t="s">
        <v>26</v>
      </c>
      <c r="C47" s="142">
        <v>88316</v>
      </c>
      <c r="D47" s="143" t="s">
        <v>311</v>
      </c>
      <c r="E47" s="142" t="s">
        <v>309</v>
      </c>
      <c r="F47" s="157">
        <v>7.4999999999999997E-3</v>
      </c>
      <c r="G47" s="152">
        <v>18.79</v>
      </c>
      <c r="H47" s="145">
        <f t="shared" si="1"/>
        <v>0.14000000000000001</v>
      </c>
    </row>
    <row r="48" spans="1:8" ht="27" customHeight="1">
      <c r="A48" s="142" t="s">
        <v>307</v>
      </c>
      <c r="B48" s="142" t="s">
        <v>26</v>
      </c>
      <c r="C48" s="142">
        <v>88597</v>
      </c>
      <c r="D48" s="143" t="s">
        <v>316</v>
      </c>
      <c r="E48" s="142" t="s">
        <v>309</v>
      </c>
      <c r="F48" s="157">
        <v>2E-3</v>
      </c>
      <c r="G48" s="152">
        <v>43.22</v>
      </c>
      <c r="H48" s="145">
        <f t="shared" si="1"/>
        <v>0.09</v>
      </c>
    </row>
    <row r="49" spans="1:8" ht="36">
      <c r="A49" s="142" t="s">
        <v>307</v>
      </c>
      <c r="B49" s="142" t="s">
        <v>26</v>
      </c>
      <c r="C49" s="142">
        <v>92145</v>
      </c>
      <c r="D49" s="143" t="s">
        <v>317</v>
      </c>
      <c r="E49" s="142" t="s">
        <v>318</v>
      </c>
      <c r="F49" s="157">
        <v>1E-3</v>
      </c>
      <c r="G49" s="152">
        <v>78.27</v>
      </c>
      <c r="H49" s="145">
        <f t="shared" si="1"/>
        <v>0.08</v>
      </c>
    </row>
    <row r="50" spans="1:8" ht="21.95" customHeight="1">
      <c r="A50" s="3"/>
      <c r="B50" s="4"/>
      <c r="C50" s="4"/>
      <c r="D50" s="4"/>
      <c r="E50" s="420" t="s">
        <v>284</v>
      </c>
      <c r="F50" s="421"/>
      <c r="G50" s="422"/>
      <c r="H50" s="146">
        <f>SUM(H44:H49)</f>
        <v>0.41000000000000003</v>
      </c>
    </row>
    <row r="51" spans="1:8" ht="21.95" customHeight="1">
      <c r="A51" s="3"/>
      <c r="B51" s="4"/>
      <c r="C51" s="4"/>
      <c r="D51" s="4"/>
      <c r="E51" s="423">
        <f>H9</f>
        <v>0.21378112315270936</v>
      </c>
      <c r="F51" s="421"/>
      <c r="G51" s="422"/>
      <c r="H51" s="147">
        <f>ROUND((E51*H50),2)</f>
        <v>0.09</v>
      </c>
    </row>
    <row r="52" spans="1:8" ht="21.95" customHeight="1">
      <c r="A52" s="155"/>
      <c r="B52" s="156"/>
      <c r="C52" s="156"/>
      <c r="D52" s="156"/>
      <c r="E52" s="420" t="s">
        <v>286</v>
      </c>
      <c r="F52" s="421"/>
      <c r="G52" s="422"/>
      <c r="H52" s="149">
        <f>ROUND(H50+H51,2)</f>
        <v>0.5</v>
      </c>
    </row>
  </sheetData>
  <mergeCells count="23">
    <mergeCell ref="E52:G52"/>
    <mergeCell ref="E39:G39"/>
    <mergeCell ref="E40:G40"/>
    <mergeCell ref="E41:G41"/>
    <mergeCell ref="E50:G50"/>
    <mergeCell ref="E51:G51"/>
    <mergeCell ref="E25:G25"/>
    <mergeCell ref="E26:G26"/>
    <mergeCell ref="E27:G27"/>
    <mergeCell ref="E17:G17"/>
    <mergeCell ref="E18:G18"/>
    <mergeCell ref="E19:G19"/>
    <mergeCell ref="E20:G20"/>
    <mergeCell ref="E16:G16"/>
    <mergeCell ref="F9:G9"/>
    <mergeCell ref="F10:G10"/>
    <mergeCell ref="B11:D11"/>
    <mergeCell ref="F11:H11"/>
    <mergeCell ref="D1:H1"/>
    <mergeCell ref="D2:H2"/>
    <mergeCell ref="D3:H3"/>
    <mergeCell ref="A5:H5"/>
    <mergeCell ref="A7:H7"/>
  </mergeCells>
  <pageMargins left="0.511811024" right="0.511811024" top="0.78740157499999996" bottom="0.78740157499999996" header="0.31496062000000002" footer="0.31496062000000002"/>
  <pageSetup paperSize="9" scale="5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L158"/>
  <sheetViews>
    <sheetView view="pageBreakPreview" zoomScaleNormal="100" zoomScaleSheetLayoutView="100" workbookViewId="0">
      <selection activeCell="E37" sqref="E37"/>
    </sheetView>
  </sheetViews>
  <sheetFormatPr defaultColWidth="9" defaultRowHeight="12.75"/>
  <cols>
    <col min="1" max="2" width="13.28515625" customWidth="1"/>
    <col min="3" max="3" width="15.5703125" customWidth="1"/>
    <col min="4" max="4" width="93.42578125" customWidth="1"/>
    <col min="5" max="5" width="17.28515625" customWidth="1"/>
    <col min="6" max="6" width="19.7109375" customWidth="1"/>
    <col min="7" max="7" width="16.42578125" customWidth="1"/>
    <col min="8" max="8" width="11.5703125" customWidth="1"/>
    <col min="12" max="12" width="12.85546875"/>
  </cols>
  <sheetData>
    <row r="1" spans="1:8">
      <c r="A1" s="117"/>
      <c r="B1" s="118"/>
      <c r="C1" s="424" t="s">
        <v>508</v>
      </c>
      <c r="D1" s="425"/>
      <c r="E1" s="425"/>
      <c r="F1" s="425"/>
      <c r="G1" s="425"/>
      <c r="H1" s="119"/>
    </row>
    <row r="2" spans="1:8">
      <c r="A2" s="120"/>
      <c r="B2" s="4"/>
      <c r="C2" s="404" t="s">
        <v>319</v>
      </c>
      <c r="D2" s="405"/>
      <c r="E2" s="405"/>
      <c r="F2" s="405"/>
      <c r="G2" s="405"/>
      <c r="H2" s="121"/>
    </row>
    <row r="3" spans="1:8">
      <c r="A3" s="120"/>
      <c r="B3" s="4"/>
      <c r="C3" s="404" t="s">
        <v>320</v>
      </c>
      <c r="D3" s="405"/>
      <c r="E3" s="405"/>
      <c r="F3" s="405"/>
      <c r="G3" s="405"/>
      <c r="H3" s="121"/>
    </row>
    <row r="4" spans="1:8">
      <c r="A4" s="120"/>
      <c r="B4" s="4"/>
      <c r="C4" s="4"/>
      <c r="D4" s="4"/>
      <c r="E4" s="4"/>
      <c r="F4" s="4"/>
      <c r="G4" s="4"/>
      <c r="H4" s="121"/>
    </row>
    <row r="5" spans="1:8" ht="15.75">
      <c r="A5" s="426" t="s">
        <v>509</v>
      </c>
      <c r="B5" s="408"/>
      <c r="C5" s="408"/>
      <c r="D5" s="408"/>
      <c r="E5" s="408"/>
      <c r="F5" s="408"/>
      <c r="G5" s="408"/>
      <c r="H5" s="121"/>
    </row>
    <row r="6" spans="1:8" ht="15.75">
      <c r="A6" s="122"/>
      <c r="B6" s="7"/>
      <c r="C6" s="7"/>
      <c r="D6" s="7"/>
      <c r="E6" s="7"/>
      <c r="F6" s="7"/>
      <c r="G6" s="7"/>
      <c r="H6" s="121"/>
    </row>
    <row r="7" spans="1:8" ht="39.950000000000003" customHeight="1">
      <c r="A7" s="427" t="str">
        <f>'Planilha - ILHÉUS'!A5:I5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316"/>
      <c r="C7" s="316"/>
      <c r="D7" s="316"/>
      <c r="E7" s="316"/>
      <c r="F7" s="316"/>
      <c r="G7" s="316"/>
      <c r="H7" s="428"/>
    </row>
    <row r="8" spans="1:8" ht="15.75">
      <c r="A8" s="122"/>
      <c r="B8" s="7"/>
      <c r="C8" s="7"/>
      <c r="D8" s="7"/>
      <c r="E8" s="7"/>
      <c r="F8" s="7"/>
      <c r="G8" s="7"/>
      <c r="H8" s="121"/>
    </row>
    <row r="9" spans="1:8" ht="21.95" customHeight="1">
      <c r="A9" s="120"/>
      <c r="B9" s="4"/>
      <c r="C9" s="4"/>
      <c r="D9" s="4"/>
      <c r="E9" s="416" t="s">
        <v>275</v>
      </c>
      <c r="F9" s="416"/>
      <c r="G9" s="429">
        <f>BDI!D36</f>
        <v>0.21378112315270936</v>
      </c>
      <c r="H9" s="430"/>
    </row>
    <row r="10" spans="1:8" ht="21.95" customHeight="1">
      <c r="A10" s="120"/>
      <c r="B10" s="4"/>
      <c r="C10" s="4"/>
      <c r="D10" s="4"/>
      <c r="E10" s="416" t="s">
        <v>276</v>
      </c>
      <c r="F10" s="416"/>
      <c r="G10" s="429">
        <f>'ENC SOCIAIS'!F52</f>
        <v>1.1446999999999998</v>
      </c>
      <c r="H10" s="430"/>
    </row>
    <row r="11" spans="1:8" ht="21.95" customHeight="1">
      <c r="A11" s="123" t="s">
        <v>8</v>
      </c>
      <c r="B11" s="320" t="s">
        <v>9</v>
      </c>
      <c r="C11" s="320"/>
      <c r="D11" s="320"/>
      <c r="E11" s="431" t="s">
        <v>436</v>
      </c>
      <c r="F11" s="431"/>
      <c r="G11" s="431"/>
      <c r="H11" s="432"/>
    </row>
    <row r="12" spans="1:8" ht="15" customHeight="1">
      <c r="A12" s="120"/>
      <c r="B12" s="4"/>
      <c r="C12" s="4"/>
      <c r="D12" s="4"/>
      <c r="E12" s="4"/>
      <c r="F12" s="4"/>
      <c r="G12" s="5"/>
      <c r="H12" s="121"/>
    </row>
    <row r="13" spans="1:8">
      <c r="A13" s="120"/>
      <c r="H13" s="121"/>
    </row>
    <row r="14" spans="1:8">
      <c r="A14" s="443" t="s">
        <v>76</v>
      </c>
      <c r="B14" s="437" t="s">
        <v>22</v>
      </c>
      <c r="C14" s="437" t="s">
        <v>333</v>
      </c>
      <c r="D14" s="446" t="s">
        <v>334</v>
      </c>
      <c r="E14" s="437" t="s">
        <v>321</v>
      </c>
      <c r="F14" s="439" t="s">
        <v>322</v>
      </c>
      <c r="G14" s="439" t="s">
        <v>323</v>
      </c>
      <c r="H14" s="449" t="s">
        <v>279</v>
      </c>
    </row>
    <row r="15" spans="1:8" ht="24" customHeight="1">
      <c r="A15" s="444"/>
      <c r="B15" s="438"/>
      <c r="C15" s="438"/>
      <c r="D15" s="445"/>
      <c r="E15" s="438"/>
      <c r="F15" s="440"/>
      <c r="G15" s="440"/>
      <c r="H15" s="450"/>
    </row>
    <row r="16" spans="1:8">
      <c r="A16" s="124" t="s">
        <v>298</v>
      </c>
      <c r="B16" s="12" t="s">
        <v>26</v>
      </c>
      <c r="C16" s="12">
        <v>370</v>
      </c>
      <c r="D16" s="24" t="s">
        <v>324</v>
      </c>
      <c r="E16" s="12" t="s">
        <v>185</v>
      </c>
      <c r="F16" s="13" t="s">
        <v>325</v>
      </c>
      <c r="G16" s="13">
        <v>100</v>
      </c>
      <c r="H16" s="125">
        <f>F16*G16</f>
        <v>5.6800000000000006</v>
      </c>
    </row>
    <row r="17" spans="1:8" ht="33.75">
      <c r="A17" s="124" t="s">
        <v>298</v>
      </c>
      <c r="B17" s="12" t="s">
        <v>26</v>
      </c>
      <c r="C17" s="12">
        <v>36156</v>
      </c>
      <c r="D17" s="24" t="s">
        <v>335</v>
      </c>
      <c r="E17" s="12" t="s">
        <v>44</v>
      </c>
      <c r="F17" s="13">
        <v>1.0487</v>
      </c>
      <c r="G17" s="309">
        <v>44.01</v>
      </c>
      <c r="H17" s="125">
        <f t="shared" ref="H17:H23" si="0">F17*G17</f>
        <v>46.153286999999999</v>
      </c>
    </row>
    <row r="18" spans="1:8">
      <c r="A18" s="124" t="s">
        <v>298</v>
      </c>
      <c r="B18" s="12" t="s">
        <v>26</v>
      </c>
      <c r="C18" s="12">
        <v>4741</v>
      </c>
      <c r="D18" s="24" t="s">
        <v>326</v>
      </c>
      <c r="E18" s="12" t="s">
        <v>185</v>
      </c>
      <c r="F18" s="13">
        <v>6.4999999999999997E-3</v>
      </c>
      <c r="G18" s="309">
        <v>65.790000000000006</v>
      </c>
      <c r="H18" s="125">
        <f t="shared" si="0"/>
        <v>0.42763500000000004</v>
      </c>
    </row>
    <row r="19" spans="1:8">
      <c r="A19" s="126" t="s">
        <v>307</v>
      </c>
      <c r="B19" s="12" t="s">
        <v>26</v>
      </c>
      <c r="C19" s="12">
        <v>88260</v>
      </c>
      <c r="D19" s="24" t="s">
        <v>327</v>
      </c>
      <c r="E19" s="12" t="s">
        <v>283</v>
      </c>
      <c r="F19" s="13">
        <v>0.39750000000000002</v>
      </c>
      <c r="G19" s="309">
        <v>27.29</v>
      </c>
      <c r="H19" s="125">
        <f t="shared" si="0"/>
        <v>10.847775</v>
      </c>
    </row>
    <row r="20" spans="1:8">
      <c r="A20" s="126" t="s">
        <v>307</v>
      </c>
      <c r="B20" s="12" t="s">
        <v>26</v>
      </c>
      <c r="C20" s="12">
        <v>88316</v>
      </c>
      <c r="D20" s="24" t="s">
        <v>311</v>
      </c>
      <c r="E20" s="12" t="s">
        <v>283</v>
      </c>
      <c r="F20" s="13">
        <v>0.39750000000000002</v>
      </c>
      <c r="G20" s="309">
        <v>18.79</v>
      </c>
      <c r="H20" s="125">
        <f t="shared" si="0"/>
        <v>7.4690250000000002</v>
      </c>
    </row>
    <row r="21" spans="1:8" ht="22.5">
      <c r="A21" s="126" t="s">
        <v>307</v>
      </c>
      <c r="B21" s="12" t="s">
        <v>30</v>
      </c>
      <c r="C21" s="12">
        <v>11450</v>
      </c>
      <c r="D21" s="24" t="s">
        <v>328</v>
      </c>
      <c r="E21" s="12" t="s">
        <v>186</v>
      </c>
      <c r="F21" s="13">
        <v>1</v>
      </c>
      <c r="G21" s="309">
        <v>1.77</v>
      </c>
      <c r="H21" s="125">
        <f t="shared" si="0"/>
        <v>1.77</v>
      </c>
    </row>
    <row r="22" spans="1:8" ht="33.75">
      <c r="A22" s="126" t="s">
        <v>307</v>
      </c>
      <c r="B22" s="12" t="s">
        <v>26</v>
      </c>
      <c r="C22" s="12" t="s">
        <v>329</v>
      </c>
      <c r="D22" s="24" t="s">
        <v>330</v>
      </c>
      <c r="E22" s="12" t="s">
        <v>291</v>
      </c>
      <c r="F22" s="13">
        <v>4.8300000000000003E-2</v>
      </c>
      <c r="G22" s="13">
        <v>23.12</v>
      </c>
      <c r="H22" s="125">
        <f t="shared" si="0"/>
        <v>1.1166960000000001</v>
      </c>
    </row>
    <row r="23" spans="1:8" ht="33.75">
      <c r="A23" s="126" t="s">
        <v>307</v>
      </c>
      <c r="B23" s="12" t="s">
        <v>26</v>
      </c>
      <c r="C23" s="12">
        <v>91285</v>
      </c>
      <c r="D23" s="24" t="s">
        <v>330</v>
      </c>
      <c r="E23" s="12" t="s">
        <v>336</v>
      </c>
      <c r="F23" s="13">
        <v>0.15040000000000001</v>
      </c>
      <c r="G23" s="13">
        <v>0.84</v>
      </c>
      <c r="H23" s="125">
        <f t="shared" si="0"/>
        <v>0.126336</v>
      </c>
    </row>
    <row r="24" spans="1:8">
      <c r="A24" s="127"/>
      <c r="B24" s="14"/>
      <c r="C24" s="14"/>
      <c r="D24" s="14"/>
      <c r="E24" s="433" t="s">
        <v>284</v>
      </c>
      <c r="F24" s="433"/>
      <c r="G24" s="434"/>
      <c r="H24" s="128">
        <f>SUM(H16:H23)</f>
        <v>73.59075399999999</v>
      </c>
    </row>
    <row r="25" spans="1:8">
      <c r="A25" s="129"/>
      <c r="B25" s="15"/>
      <c r="C25" s="15"/>
      <c r="D25" s="15"/>
      <c r="E25" s="16"/>
      <c r="F25" s="17" t="s">
        <v>331</v>
      </c>
      <c r="G25" s="18">
        <f>$G$9</f>
        <v>0.21378112315270936</v>
      </c>
      <c r="H25" s="130">
        <f>ROUND(H24*G25,2)</f>
        <v>15.73</v>
      </c>
    </row>
    <row r="26" spans="1:8">
      <c r="A26" s="131"/>
      <c r="B26" s="19"/>
      <c r="C26" s="19"/>
      <c r="D26" s="19"/>
      <c r="E26" s="20"/>
      <c r="F26" s="20"/>
      <c r="G26" s="21" t="s">
        <v>332</v>
      </c>
      <c r="H26" s="132">
        <f>H24+H25</f>
        <v>89.320753999999994</v>
      </c>
    </row>
    <row r="27" spans="1:8">
      <c r="A27" s="133"/>
      <c r="B27" s="22"/>
      <c r="C27" s="22"/>
      <c r="D27" s="22"/>
      <c r="E27" s="23" t="str">
        <f>A14</f>
        <v>CPU-06</v>
      </c>
      <c r="F27" s="435" t="s">
        <v>286</v>
      </c>
      <c r="G27" s="436"/>
      <c r="H27" s="134">
        <f>H26</f>
        <v>89.320753999999994</v>
      </c>
    </row>
    <row r="28" spans="1:8">
      <c r="A28" s="120"/>
      <c r="H28" s="121"/>
    </row>
    <row r="29" spans="1:8">
      <c r="A29" s="443" t="s">
        <v>143</v>
      </c>
      <c r="B29" s="437" t="s">
        <v>22</v>
      </c>
      <c r="C29" s="437"/>
      <c r="D29" s="446" t="s">
        <v>343</v>
      </c>
      <c r="E29" s="437" t="s">
        <v>321</v>
      </c>
      <c r="F29" s="439" t="s">
        <v>322</v>
      </c>
      <c r="G29" s="439" t="s">
        <v>323</v>
      </c>
      <c r="H29" s="449" t="s">
        <v>279</v>
      </c>
    </row>
    <row r="30" spans="1:8">
      <c r="A30" s="444"/>
      <c r="B30" s="438"/>
      <c r="C30" s="438"/>
      <c r="D30" s="445" t="s">
        <v>337</v>
      </c>
      <c r="E30" s="438"/>
      <c r="F30" s="440"/>
      <c r="G30" s="440"/>
      <c r="H30" s="450"/>
    </row>
    <row r="31" spans="1:8">
      <c r="A31" s="124" t="s">
        <v>307</v>
      </c>
      <c r="B31" s="12" t="s">
        <v>30</v>
      </c>
      <c r="C31" s="12">
        <v>88316</v>
      </c>
      <c r="D31" s="24" t="s">
        <v>344</v>
      </c>
      <c r="E31" s="12" t="s">
        <v>283</v>
      </c>
      <c r="F31" s="13">
        <v>3</v>
      </c>
      <c r="G31" s="309">
        <v>18.79</v>
      </c>
      <c r="H31" s="125">
        <f>F31*G31</f>
        <v>56.37</v>
      </c>
    </row>
    <row r="32" spans="1:8">
      <c r="A32" s="124" t="s">
        <v>298</v>
      </c>
      <c r="B32" s="12" t="s">
        <v>30</v>
      </c>
      <c r="C32" s="12">
        <v>4525</v>
      </c>
      <c r="D32" s="24" t="s">
        <v>343</v>
      </c>
      <c r="E32" s="12" t="s">
        <v>87</v>
      </c>
      <c r="F32" s="13">
        <v>1</v>
      </c>
      <c r="G32" s="13">
        <v>120</v>
      </c>
      <c r="H32" s="125">
        <f>F32*G32</f>
        <v>120</v>
      </c>
    </row>
    <row r="33" spans="1:8">
      <c r="A33" s="127"/>
      <c r="B33" s="14"/>
      <c r="C33" s="14"/>
      <c r="D33" s="14"/>
      <c r="E33" s="433" t="s">
        <v>284</v>
      </c>
      <c r="F33" s="433"/>
      <c r="G33" s="434"/>
      <c r="H33" s="128">
        <f>SUM(H31:H32)</f>
        <v>176.37</v>
      </c>
    </row>
    <row r="34" spans="1:8">
      <c r="A34" s="129"/>
      <c r="B34" s="15"/>
      <c r="C34" s="15"/>
      <c r="D34" s="15"/>
      <c r="E34" s="16"/>
      <c r="F34" s="17" t="s">
        <v>331</v>
      </c>
      <c r="G34" s="18">
        <f>$G$9</f>
        <v>0.21378112315270936</v>
      </c>
      <c r="H34" s="130">
        <f>ROUND(H33*G34,2)</f>
        <v>37.700000000000003</v>
      </c>
    </row>
    <row r="35" spans="1:8">
      <c r="A35" s="131"/>
      <c r="B35" s="19"/>
      <c r="C35" s="19"/>
      <c r="D35" s="19"/>
      <c r="E35" s="20"/>
      <c r="F35" s="20"/>
      <c r="G35" s="21" t="s">
        <v>332</v>
      </c>
      <c r="H35" s="132">
        <f>H33+H34</f>
        <v>214.07</v>
      </c>
    </row>
    <row r="36" spans="1:8">
      <c r="A36" s="133"/>
      <c r="B36" s="22"/>
      <c r="C36" s="22"/>
      <c r="D36" s="22"/>
      <c r="E36" s="23" t="str">
        <f>A29</f>
        <v>CPU-09</v>
      </c>
      <c r="F36" s="435" t="s">
        <v>286</v>
      </c>
      <c r="G36" s="436"/>
      <c r="H36" s="134">
        <f>H35</f>
        <v>214.07</v>
      </c>
    </row>
    <row r="37" spans="1:8">
      <c r="A37" s="120"/>
      <c r="H37" s="121"/>
    </row>
    <row r="38" spans="1:8">
      <c r="A38" s="443" t="s">
        <v>137</v>
      </c>
      <c r="B38" s="437" t="s">
        <v>22</v>
      </c>
      <c r="C38" s="437"/>
      <c r="D38" s="446" t="s">
        <v>345</v>
      </c>
      <c r="E38" s="437" t="s">
        <v>321</v>
      </c>
      <c r="F38" s="439" t="s">
        <v>322</v>
      </c>
      <c r="G38" s="439" t="s">
        <v>323</v>
      </c>
      <c r="H38" s="449" t="s">
        <v>279</v>
      </c>
    </row>
    <row r="39" spans="1:8">
      <c r="A39" s="444"/>
      <c r="B39" s="438"/>
      <c r="C39" s="438"/>
      <c r="D39" s="445" t="s">
        <v>337</v>
      </c>
      <c r="E39" s="438"/>
      <c r="F39" s="440"/>
      <c r="G39" s="440"/>
      <c r="H39" s="450"/>
    </row>
    <row r="40" spans="1:8">
      <c r="A40" s="124" t="s">
        <v>307</v>
      </c>
      <c r="B40" s="12" t="s">
        <v>339</v>
      </c>
      <c r="C40" s="12">
        <v>88262</v>
      </c>
      <c r="D40" s="24" t="s">
        <v>310</v>
      </c>
      <c r="E40" s="12" t="s">
        <v>283</v>
      </c>
      <c r="F40" s="13">
        <v>2.2559999999999998</v>
      </c>
      <c r="G40" s="309">
        <v>26.39</v>
      </c>
      <c r="H40" s="125">
        <f>F40*G40</f>
        <v>59.535839999999993</v>
      </c>
    </row>
    <row r="41" spans="1:8">
      <c r="A41" s="124" t="s">
        <v>298</v>
      </c>
      <c r="B41" s="12" t="s">
        <v>339</v>
      </c>
      <c r="C41" s="12">
        <v>4460</v>
      </c>
      <c r="D41" s="24" t="s">
        <v>346</v>
      </c>
      <c r="E41" s="12" t="s">
        <v>107</v>
      </c>
      <c r="F41" s="13">
        <v>2.5</v>
      </c>
      <c r="G41" s="13">
        <v>11.61</v>
      </c>
      <c r="H41" s="125">
        <f>F41*G41</f>
        <v>29.024999999999999</v>
      </c>
    </row>
    <row r="42" spans="1:8">
      <c r="A42" s="124" t="s">
        <v>298</v>
      </c>
      <c r="B42" s="12" t="s">
        <v>339</v>
      </c>
      <c r="C42" s="12">
        <v>4517</v>
      </c>
      <c r="D42" s="24" t="s">
        <v>347</v>
      </c>
      <c r="E42" s="12" t="s">
        <v>107</v>
      </c>
      <c r="F42" s="13">
        <v>2</v>
      </c>
      <c r="G42" s="13">
        <v>3.09</v>
      </c>
      <c r="H42" s="125">
        <f>F42*G42</f>
        <v>6.18</v>
      </c>
    </row>
    <row r="43" spans="1:8" ht="22.5">
      <c r="A43" s="124" t="s">
        <v>307</v>
      </c>
      <c r="B43" s="12" t="s">
        <v>339</v>
      </c>
      <c r="C43" s="12">
        <v>94964</v>
      </c>
      <c r="D43" s="24" t="s">
        <v>340</v>
      </c>
      <c r="E43" s="12" t="s">
        <v>87</v>
      </c>
      <c r="F43" s="13">
        <v>1.2130000000000001</v>
      </c>
      <c r="G43" s="13">
        <v>449.17</v>
      </c>
      <c r="H43" s="125">
        <f>F43*G43</f>
        <v>544.84321</v>
      </c>
    </row>
    <row r="44" spans="1:8">
      <c r="A44" s="127"/>
      <c r="B44" s="14"/>
      <c r="C44" s="14"/>
      <c r="D44" s="14"/>
      <c r="E44" s="433" t="s">
        <v>284</v>
      </c>
      <c r="F44" s="433"/>
      <c r="G44" s="434"/>
      <c r="H44" s="128">
        <f>SUM(H40:H43)</f>
        <v>639.58404999999993</v>
      </c>
    </row>
    <row r="45" spans="1:8">
      <c r="A45" s="129"/>
      <c r="B45" s="15"/>
      <c r="C45" s="15"/>
      <c r="D45" s="15"/>
      <c r="E45" s="16"/>
      <c r="F45" s="17" t="s">
        <v>331</v>
      </c>
      <c r="G45" s="18">
        <f>$G$9</f>
        <v>0.21378112315270936</v>
      </c>
      <c r="H45" s="130">
        <f>ROUND(H44*G45,2)</f>
        <v>136.72999999999999</v>
      </c>
    </row>
    <row r="46" spans="1:8">
      <c r="A46" s="131"/>
      <c r="B46" s="19"/>
      <c r="C46" s="19"/>
      <c r="D46" s="19"/>
      <c r="E46" s="20"/>
      <c r="F46" s="20"/>
      <c r="G46" s="21" t="s">
        <v>332</v>
      </c>
      <c r="H46" s="132">
        <f>H44+H45</f>
        <v>776.31404999999995</v>
      </c>
    </row>
    <row r="47" spans="1:8">
      <c r="A47" s="133"/>
      <c r="B47" s="22"/>
      <c r="C47" s="22"/>
      <c r="D47" s="22"/>
      <c r="E47" s="23" t="str">
        <f>A38</f>
        <v>CPU-10</v>
      </c>
      <c r="F47" s="435" t="s">
        <v>286</v>
      </c>
      <c r="G47" s="436"/>
      <c r="H47" s="134">
        <f>H46</f>
        <v>776.31404999999995</v>
      </c>
    </row>
    <row r="48" spans="1:8" ht="15.75" customHeight="1">
      <c r="A48" s="120"/>
      <c r="H48" s="121"/>
    </row>
    <row r="49" spans="1:8">
      <c r="A49" s="443" t="s">
        <v>133</v>
      </c>
      <c r="B49" s="437" t="s">
        <v>22</v>
      </c>
      <c r="C49" s="437" t="s">
        <v>348</v>
      </c>
      <c r="D49" s="447" t="s">
        <v>349</v>
      </c>
      <c r="E49" s="437" t="s">
        <v>321</v>
      </c>
      <c r="F49" s="439" t="s">
        <v>322</v>
      </c>
      <c r="G49" s="439" t="s">
        <v>323</v>
      </c>
      <c r="H49" s="449" t="s">
        <v>279</v>
      </c>
    </row>
    <row r="50" spans="1:8">
      <c r="A50" s="444"/>
      <c r="B50" s="438"/>
      <c r="C50" s="438"/>
      <c r="D50" s="448"/>
      <c r="E50" s="438"/>
      <c r="F50" s="440"/>
      <c r="G50" s="440"/>
      <c r="H50" s="450"/>
    </row>
    <row r="51" spans="1:8">
      <c r="A51" s="124" t="s">
        <v>298</v>
      </c>
      <c r="B51" s="12" t="s">
        <v>26</v>
      </c>
      <c r="C51" s="12">
        <v>370</v>
      </c>
      <c r="D51" s="24" t="s">
        <v>324</v>
      </c>
      <c r="E51" s="12" t="s">
        <v>185</v>
      </c>
      <c r="F51" s="13" t="s">
        <v>325</v>
      </c>
      <c r="G51" s="13">
        <v>100</v>
      </c>
      <c r="H51" s="125">
        <f>F51*G51</f>
        <v>5.6800000000000006</v>
      </c>
    </row>
    <row r="52" spans="1:8" ht="33.75">
      <c r="A52" s="124" t="s">
        <v>298</v>
      </c>
      <c r="B52" s="12" t="s">
        <v>26</v>
      </c>
      <c r="C52" s="12">
        <v>36155</v>
      </c>
      <c r="D52" s="24" t="s">
        <v>350</v>
      </c>
      <c r="E52" s="12" t="s">
        <v>44</v>
      </c>
      <c r="F52" s="13">
        <v>1.0487</v>
      </c>
      <c r="G52" s="309">
        <v>38</v>
      </c>
      <c r="H52" s="125">
        <f t="shared" ref="H52:H58" si="1">F52*G52</f>
        <v>39.8506</v>
      </c>
    </row>
    <row r="53" spans="1:8">
      <c r="A53" s="124" t="s">
        <v>298</v>
      </c>
      <c r="B53" s="12" t="s">
        <v>26</v>
      </c>
      <c r="C53" s="12">
        <v>4741</v>
      </c>
      <c r="D53" s="24" t="s">
        <v>326</v>
      </c>
      <c r="E53" s="12" t="s">
        <v>185</v>
      </c>
      <c r="F53" s="13">
        <v>6.4999999999999997E-3</v>
      </c>
      <c r="G53" s="309">
        <v>65.790000000000006</v>
      </c>
      <c r="H53" s="125">
        <f t="shared" si="1"/>
        <v>0.42763500000000004</v>
      </c>
    </row>
    <row r="54" spans="1:8">
      <c r="A54" s="126" t="s">
        <v>307</v>
      </c>
      <c r="B54" s="12" t="s">
        <v>26</v>
      </c>
      <c r="C54" s="12">
        <v>88260</v>
      </c>
      <c r="D54" s="24" t="s">
        <v>327</v>
      </c>
      <c r="E54" s="12" t="s">
        <v>283</v>
      </c>
      <c r="F54" s="13">
        <v>0.39750000000000002</v>
      </c>
      <c r="G54" s="309">
        <v>27.29</v>
      </c>
      <c r="H54" s="125">
        <f t="shared" si="1"/>
        <v>10.847775</v>
      </c>
    </row>
    <row r="55" spans="1:8">
      <c r="A55" s="126" t="s">
        <v>307</v>
      </c>
      <c r="B55" s="12" t="s">
        <v>26</v>
      </c>
      <c r="C55" s="12">
        <v>88316</v>
      </c>
      <c r="D55" s="24" t="s">
        <v>311</v>
      </c>
      <c r="E55" s="12" t="s">
        <v>283</v>
      </c>
      <c r="F55" s="13">
        <v>0.39750000000000002</v>
      </c>
      <c r="G55" s="309">
        <v>18.79</v>
      </c>
      <c r="H55" s="125">
        <f t="shared" si="1"/>
        <v>7.4690250000000002</v>
      </c>
    </row>
    <row r="56" spans="1:8" ht="22.5">
      <c r="A56" s="126" t="s">
        <v>307</v>
      </c>
      <c r="B56" s="12" t="s">
        <v>30</v>
      </c>
      <c r="C56" s="12">
        <v>11450</v>
      </c>
      <c r="D56" s="24" t="s">
        <v>328</v>
      </c>
      <c r="E56" s="12" t="s">
        <v>186</v>
      </c>
      <c r="F56" s="13">
        <v>1</v>
      </c>
      <c r="G56" s="309">
        <v>1.77</v>
      </c>
      <c r="H56" s="125">
        <f t="shared" si="1"/>
        <v>1.77</v>
      </c>
    </row>
    <row r="57" spans="1:8" ht="33.75">
      <c r="A57" s="126" t="s">
        <v>307</v>
      </c>
      <c r="B57" s="12" t="s">
        <v>26</v>
      </c>
      <c r="C57" s="12" t="s">
        <v>329</v>
      </c>
      <c r="D57" s="24" t="s">
        <v>330</v>
      </c>
      <c r="E57" s="12" t="s">
        <v>291</v>
      </c>
      <c r="F57" s="13">
        <v>4.8300000000000003E-2</v>
      </c>
      <c r="G57" s="13">
        <v>23.12</v>
      </c>
      <c r="H57" s="125">
        <f t="shared" si="1"/>
        <v>1.1166960000000001</v>
      </c>
    </row>
    <row r="58" spans="1:8" ht="33.75">
      <c r="A58" s="126" t="s">
        <v>307</v>
      </c>
      <c r="B58" s="12" t="s">
        <v>26</v>
      </c>
      <c r="C58" s="12">
        <v>91285</v>
      </c>
      <c r="D58" s="24" t="s">
        <v>330</v>
      </c>
      <c r="E58" s="12" t="s">
        <v>336</v>
      </c>
      <c r="F58" s="13">
        <v>0.15040000000000001</v>
      </c>
      <c r="G58" s="13">
        <v>0.84</v>
      </c>
      <c r="H58" s="125">
        <f t="shared" si="1"/>
        <v>0.126336</v>
      </c>
    </row>
    <row r="59" spans="1:8">
      <c r="A59" s="127"/>
      <c r="B59" s="14"/>
      <c r="C59" s="14"/>
      <c r="D59" s="14"/>
      <c r="E59" s="433" t="s">
        <v>284</v>
      </c>
      <c r="F59" s="433"/>
      <c r="G59" s="434"/>
      <c r="H59" s="128">
        <f>SUM(H51:H58)</f>
        <v>67.288066999999998</v>
      </c>
    </row>
    <row r="60" spans="1:8">
      <c r="A60" s="129"/>
      <c r="B60" s="15"/>
      <c r="C60" s="15"/>
      <c r="D60" s="15"/>
      <c r="E60" s="16"/>
      <c r="F60" s="17" t="s">
        <v>331</v>
      </c>
      <c r="G60" s="18">
        <f>$G$9</f>
        <v>0.21378112315270936</v>
      </c>
      <c r="H60" s="130">
        <f>ROUND(H59*G60,2)</f>
        <v>14.38</v>
      </c>
    </row>
    <row r="61" spans="1:8">
      <c r="A61" s="131"/>
      <c r="B61" s="19"/>
      <c r="C61" s="19"/>
      <c r="D61" s="19"/>
      <c r="E61" s="20"/>
      <c r="F61" s="20"/>
      <c r="G61" s="21" t="s">
        <v>332</v>
      </c>
      <c r="H61" s="132">
        <f>H59+H60</f>
        <v>81.668066999999994</v>
      </c>
    </row>
    <row r="62" spans="1:8">
      <c r="A62" s="133"/>
      <c r="B62" s="22"/>
      <c r="C62" s="22"/>
      <c r="D62" s="22"/>
      <c r="E62" s="23" t="str">
        <f>A49</f>
        <v>CPU-11</v>
      </c>
      <c r="F62" s="435" t="s">
        <v>286</v>
      </c>
      <c r="G62" s="436"/>
      <c r="H62" s="134">
        <f>H61</f>
        <v>81.668066999999994</v>
      </c>
    </row>
    <row r="63" spans="1:8">
      <c r="A63" s="120"/>
      <c r="H63" s="121"/>
    </row>
    <row r="64" spans="1:8">
      <c r="A64" s="443" t="s">
        <v>140</v>
      </c>
      <c r="B64" s="437" t="s">
        <v>22</v>
      </c>
      <c r="C64" s="437" t="s">
        <v>333</v>
      </c>
      <c r="D64" s="446" t="s">
        <v>351</v>
      </c>
      <c r="E64" s="437" t="s">
        <v>321</v>
      </c>
      <c r="F64" s="439" t="s">
        <v>322</v>
      </c>
      <c r="G64" s="439" t="s">
        <v>323</v>
      </c>
      <c r="H64" s="449" t="s">
        <v>279</v>
      </c>
    </row>
    <row r="65" spans="1:8">
      <c r="A65" s="444"/>
      <c r="B65" s="438"/>
      <c r="C65" s="438"/>
      <c r="D65" s="445"/>
      <c r="E65" s="438"/>
      <c r="F65" s="440"/>
      <c r="G65" s="440"/>
      <c r="H65" s="450"/>
    </row>
    <row r="66" spans="1:8">
      <c r="A66" s="126" t="s">
        <v>307</v>
      </c>
      <c r="B66" s="12" t="s">
        <v>339</v>
      </c>
      <c r="C66" s="12">
        <v>93358</v>
      </c>
      <c r="D66" s="24" t="s">
        <v>352</v>
      </c>
      <c r="E66" s="12" t="s">
        <v>87</v>
      </c>
      <c r="F66" s="13">
        <v>0.08</v>
      </c>
      <c r="G66" s="13">
        <v>74.33</v>
      </c>
      <c r="H66" s="125">
        <f>F66*G66</f>
        <v>5.9463999999999997</v>
      </c>
    </row>
    <row r="67" spans="1:8" ht="22.5">
      <c r="A67" s="126" t="s">
        <v>307</v>
      </c>
      <c r="B67" s="12" t="s">
        <v>339</v>
      </c>
      <c r="C67" s="12">
        <v>94964</v>
      </c>
      <c r="D67" s="24" t="s">
        <v>340</v>
      </c>
      <c r="E67" s="12" t="s">
        <v>87</v>
      </c>
      <c r="F67" s="13">
        <v>0.08</v>
      </c>
      <c r="G67" s="13">
        <v>449.17</v>
      </c>
      <c r="H67" s="125">
        <f t="shared" ref="H67:H73" si="2">F67*G67</f>
        <v>35.933600000000006</v>
      </c>
    </row>
    <row r="68" spans="1:8">
      <c r="A68" s="124" t="s">
        <v>298</v>
      </c>
      <c r="B68" s="12" t="s">
        <v>26</v>
      </c>
      <c r="C68" s="12">
        <v>863</v>
      </c>
      <c r="D68" s="24" t="s">
        <v>353</v>
      </c>
      <c r="E68" s="12" t="s">
        <v>107</v>
      </c>
      <c r="F68" s="13">
        <v>2</v>
      </c>
      <c r="G68" s="13">
        <v>39</v>
      </c>
      <c r="H68" s="125">
        <f t="shared" si="2"/>
        <v>78</v>
      </c>
    </row>
    <row r="69" spans="1:8">
      <c r="A69" s="124" t="s">
        <v>298</v>
      </c>
      <c r="B69" s="12" t="s">
        <v>26</v>
      </c>
      <c r="C69" s="12">
        <v>11975</v>
      </c>
      <c r="D69" s="24" t="s">
        <v>354</v>
      </c>
      <c r="E69" s="12" t="s">
        <v>14</v>
      </c>
      <c r="F69" s="13">
        <v>4</v>
      </c>
      <c r="G69" s="13">
        <v>26.5</v>
      </c>
      <c r="H69" s="125">
        <f t="shared" si="2"/>
        <v>106</v>
      </c>
    </row>
    <row r="70" spans="1:8">
      <c r="A70" s="124" t="s">
        <v>298</v>
      </c>
      <c r="B70" s="12" t="s">
        <v>30</v>
      </c>
      <c r="C70" s="12">
        <v>799</v>
      </c>
      <c r="D70" s="24" t="s">
        <v>355</v>
      </c>
      <c r="E70" s="12" t="s">
        <v>14</v>
      </c>
      <c r="F70" s="13">
        <v>1</v>
      </c>
      <c r="G70" s="309">
        <v>487.48</v>
      </c>
      <c r="H70" s="125">
        <f t="shared" si="2"/>
        <v>487.48</v>
      </c>
    </row>
    <row r="71" spans="1:8">
      <c r="A71" s="126" t="s">
        <v>307</v>
      </c>
      <c r="B71" s="12" t="s">
        <v>26</v>
      </c>
      <c r="C71" s="12">
        <v>88264</v>
      </c>
      <c r="D71" s="24" t="s">
        <v>356</v>
      </c>
      <c r="E71" s="12" t="s">
        <v>283</v>
      </c>
      <c r="F71" s="13">
        <v>3.6751</v>
      </c>
      <c r="G71" s="309">
        <v>26.92</v>
      </c>
      <c r="H71" s="125">
        <f t="shared" si="2"/>
        <v>98.933692000000008</v>
      </c>
    </row>
    <row r="72" spans="1:8">
      <c r="A72" s="126" t="s">
        <v>307</v>
      </c>
      <c r="B72" s="12" t="s">
        <v>26</v>
      </c>
      <c r="C72" s="12">
        <v>88247</v>
      </c>
      <c r="D72" s="24" t="s">
        <v>357</v>
      </c>
      <c r="E72" s="12" t="s">
        <v>283</v>
      </c>
      <c r="F72" s="13">
        <f>1.058+0.2381</f>
        <v>1.2961</v>
      </c>
      <c r="G72" s="309">
        <v>21.22</v>
      </c>
      <c r="H72" s="125">
        <f t="shared" si="2"/>
        <v>27.503242</v>
      </c>
    </row>
    <row r="73" spans="1:8">
      <c r="A73" s="126" t="s">
        <v>298</v>
      </c>
      <c r="B73" s="12" t="s">
        <v>26</v>
      </c>
      <c r="C73" s="12">
        <v>21127</v>
      </c>
      <c r="D73" s="24" t="s">
        <v>358</v>
      </c>
      <c r="E73" s="12" t="s">
        <v>14</v>
      </c>
      <c r="F73" s="13">
        <v>1.4E-2</v>
      </c>
      <c r="G73" s="309">
        <v>3.3</v>
      </c>
      <c r="H73" s="125">
        <f t="shared" si="2"/>
        <v>4.6199999999999998E-2</v>
      </c>
    </row>
    <row r="74" spans="1:8" ht="33.75">
      <c r="A74" s="126" t="s">
        <v>298</v>
      </c>
      <c r="B74" s="12" t="s">
        <v>30</v>
      </c>
      <c r="C74" s="12">
        <v>11997</v>
      </c>
      <c r="D74" s="24" t="s">
        <v>359</v>
      </c>
      <c r="E74" s="12" t="s">
        <v>14</v>
      </c>
      <c r="F74" s="13">
        <v>2</v>
      </c>
      <c r="G74" s="13">
        <v>1187.5</v>
      </c>
      <c r="H74" s="125">
        <f>F74*G74</f>
        <v>2375</v>
      </c>
    </row>
    <row r="75" spans="1:8">
      <c r="A75" s="127"/>
      <c r="B75" s="14"/>
      <c r="C75" s="14"/>
      <c r="D75" s="14"/>
      <c r="E75" s="433" t="s">
        <v>284</v>
      </c>
      <c r="F75" s="433"/>
      <c r="G75" s="434"/>
      <c r="H75" s="128">
        <f>SUM(H66:H74)</f>
        <v>3214.8431339999997</v>
      </c>
    </row>
    <row r="76" spans="1:8">
      <c r="A76" s="129"/>
      <c r="B76" s="15"/>
      <c r="C76" s="15"/>
      <c r="D76" s="15"/>
      <c r="E76" s="16"/>
      <c r="F76" s="17" t="s">
        <v>331</v>
      </c>
      <c r="G76" s="18">
        <f>$G$9</f>
        <v>0.21378112315270936</v>
      </c>
      <c r="H76" s="130">
        <f>ROUND(H75*G76,2)</f>
        <v>687.27</v>
      </c>
    </row>
    <row r="77" spans="1:8">
      <c r="A77" s="131"/>
      <c r="B77" s="19"/>
      <c r="C77" s="19"/>
      <c r="D77" s="19"/>
      <c r="E77" s="20"/>
      <c r="F77" s="20"/>
      <c r="G77" s="21" t="s">
        <v>332</v>
      </c>
      <c r="H77" s="132">
        <f>H75+H76</f>
        <v>3902.1131339999997</v>
      </c>
    </row>
    <row r="78" spans="1:8">
      <c r="A78" s="133"/>
      <c r="B78" s="22"/>
      <c r="C78" s="22"/>
      <c r="D78" s="22"/>
      <c r="E78" s="23" t="str">
        <f>A64</f>
        <v>CPU-12</v>
      </c>
      <c r="F78" s="435" t="s">
        <v>286</v>
      </c>
      <c r="G78" s="436"/>
      <c r="H78" s="134">
        <f>H77</f>
        <v>3902.1131339999997</v>
      </c>
    </row>
    <row r="79" spans="1:8">
      <c r="A79" s="120"/>
      <c r="H79" s="121"/>
    </row>
    <row r="80" spans="1:8">
      <c r="A80" s="443" t="s">
        <v>176</v>
      </c>
      <c r="B80" s="437" t="s">
        <v>22</v>
      </c>
      <c r="C80" s="437" t="s">
        <v>333</v>
      </c>
      <c r="D80" s="446" t="s">
        <v>363</v>
      </c>
      <c r="E80" s="437" t="s">
        <v>321</v>
      </c>
      <c r="F80" s="439" t="s">
        <v>322</v>
      </c>
      <c r="G80" s="439" t="s">
        <v>323</v>
      </c>
      <c r="H80" s="449" t="s">
        <v>279</v>
      </c>
    </row>
    <row r="81" spans="1:8">
      <c r="A81" s="444"/>
      <c r="B81" s="438"/>
      <c r="C81" s="438"/>
      <c r="D81" s="445"/>
      <c r="E81" s="438"/>
      <c r="F81" s="440"/>
      <c r="G81" s="440"/>
      <c r="H81" s="450"/>
    </row>
    <row r="82" spans="1:8">
      <c r="A82" s="126" t="s">
        <v>307</v>
      </c>
      <c r="B82" s="12" t="s">
        <v>339</v>
      </c>
      <c r="C82" s="12">
        <v>93358</v>
      </c>
      <c r="D82" s="24" t="s">
        <v>352</v>
      </c>
      <c r="E82" s="12" t="s">
        <v>87</v>
      </c>
      <c r="F82" s="13">
        <v>0.2</v>
      </c>
      <c r="G82" s="13">
        <v>74.33</v>
      </c>
      <c r="H82" s="125">
        <f t="shared" ref="H82:H91" si="3">F82*G82</f>
        <v>14.866</v>
      </c>
    </row>
    <row r="83" spans="1:8" ht="22.5">
      <c r="A83" s="126" t="s">
        <v>307</v>
      </c>
      <c r="B83" s="12" t="s">
        <v>339</v>
      </c>
      <c r="C83" s="12">
        <v>94964</v>
      </c>
      <c r="D83" s="24" t="s">
        <v>340</v>
      </c>
      <c r="E83" s="12" t="s">
        <v>87</v>
      </c>
      <c r="F83" s="13">
        <v>0.2</v>
      </c>
      <c r="G83" s="13">
        <v>449.17</v>
      </c>
      <c r="H83" s="125">
        <f t="shared" si="3"/>
        <v>89.834000000000003</v>
      </c>
    </row>
    <row r="84" spans="1:8">
      <c r="A84" s="124" t="s">
        <v>298</v>
      </c>
      <c r="B84" s="12" t="s">
        <v>26</v>
      </c>
      <c r="C84" s="12">
        <v>863</v>
      </c>
      <c r="D84" s="24" t="s">
        <v>353</v>
      </c>
      <c r="E84" s="12" t="s">
        <v>107</v>
      </c>
      <c r="F84" s="13">
        <v>9</v>
      </c>
      <c r="G84" s="309">
        <v>39</v>
      </c>
      <c r="H84" s="125">
        <f t="shared" si="3"/>
        <v>351</v>
      </c>
    </row>
    <row r="85" spans="1:8">
      <c r="A85" s="124" t="s">
        <v>298</v>
      </c>
      <c r="B85" s="12" t="s">
        <v>26</v>
      </c>
      <c r="C85" s="12">
        <v>39746</v>
      </c>
      <c r="D85" s="24" t="s">
        <v>360</v>
      </c>
      <c r="E85" s="12" t="s">
        <v>14</v>
      </c>
      <c r="F85" s="13">
        <v>4</v>
      </c>
      <c r="G85" s="309">
        <v>294.86</v>
      </c>
      <c r="H85" s="125">
        <f t="shared" si="3"/>
        <v>1179.44</v>
      </c>
    </row>
    <row r="86" spans="1:8" ht="22.5">
      <c r="A86" s="124" t="s">
        <v>298</v>
      </c>
      <c r="B86" s="12" t="s">
        <v>30</v>
      </c>
      <c r="C86" s="12">
        <v>6828</v>
      </c>
      <c r="D86" s="24" t="s">
        <v>361</v>
      </c>
      <c r="E86" s="12" t="s">
        <v>14</v>
      </c>
      <c r="F86" s="13">
        <v>1</v>
      </c>
      <c r="G86" s="309">
        <v>2679.51</v>
      </c>
      <c r="H86" s="125">
        <f t="shared" si="3"/>
        <v>2679.51</v>
      </c>
    </row>
    <row r="87" spans="1:8">
      <c r="A87" s="126" t="s">
        <v>307</v>
      </c>
      <c r="B87" s="12" t="s">
        <v>26</v>
      </c>
      <c r="C87" s="12">
        <v>88264</v>
      </c>
      <c r="D87" s="24" t="s">
        <v>356</v>
      </c>
      <c r="E87" s="12" t="s">
        <v>283</v>
      </c>
      <c r="F87" s="13">
        <v>3.2631000000000001</v>
      </c>
      <c r="G87" s="309">
        <v>26.92</v>
      </c>
      <c r="H87" s="125">
        <f t="shared" si="3"/>
        <v>87.842652000000015</v>
      </c>
    </row>
    <row r="88" spans="1:8">
      <c r="A88" s="126" t="s">
        <v>307</v>
      </c>
      <c r="B88" s="12" t="s">
        <v>26</v>
      </c>
      <c r="C88" s="12">
        <v>88247</v>
      </c>
      <c r="D88" s="24" t="s">
        <v>357</v>
      </c>
      <c r="E88" s="12" t="s">
        <v>283</v>
      </c>
      <c r="F88" s="13">
        <v>1.1691</v>
      </c>
      <c r="G88" s="309">
        <v>21.22</v>
      </c>
      <c r="H88" s="125">
        <f t="shared" si="3"/>
        <v>24.808301999999998</v>
      </c>
    </row>
    <row r="89" spans="1:8">
      <c r="A89" s="126" t="s">
        <v>298</v>
      </c>
      <c r="B89" s="12" t="s">
        <v>26</v>
      </c>
      <c r="C89" s="12">
        <v>21127</v>
      </c>
      <c r="D89" s="24" t="s">
        <v>358</v>
      </c>
      <c r="E89" s="12" t="s">
        <v>14</v>
      </c>
      <c r="F89" s="13">
        <v>1.4E-2</v>
      </c>
      <c r="G89" s="309">
        <v>3.3</v>
      </c>
      <c r="H89" s="125">
        <f t="shared" si="3"/>
        <v>4.6199999999999998E-2</v>
      </c>
    </row>
    <row r="90" spans="1:8" ht="33.75">
      <c r="A90" s="126" t="s">
        <v>298</v>
      </c>
      <c r="B90" s="12" t="s">
        <v>30</v>
      </c>
      <c r="C90" s="12">
        <v>11997</v>
      </c>
      <c r="D90" s="24" t="s">
        <v>359</v>
      </c>
      <c r="E90" s="12" t="s">
        <v>14</v>
      </c>
      <c r="F90" s="13">
        <v>4</v>
      </c>
      <c r="G90" s="13">
        <v>1187.5</v>
      </c>
      <c r="H90" s="125">
        <f t="shared" si="3"/>
        <v>4750</v>
      </c>
    </row>
    <row r="91" spans="1:8">
      <c r="A91" s="126" t="s">
        <v>307</v>
      </c>
      <c r="B91" s="12" t="s">
        <v>30</v>
      </c>
      <c r="C91" s="12">
        <v>2455</v>
      </c>
      <c r="D91" s="24" t="s">
        <v>362</v>
      </c>
      <c r="E91" s="12" t="s">
        <v>283</v>
      </c>
      <c r="F91" s="13">
        <v>1</v>
      </c>
      <c r="G91" s="13">
        <v>101.16</v>
      </c>
      <c r="H91" s="125">
        <f t="shared" si="3"/>
        <v>101.16</v>
      </c>
    </row>
    <row r="92" spans="1:8">
      <c r="A92" s="127"/>
      <c r="B92" s="14"/>
      <c r="C92" s="14"/>
      <c r="D92" s="14"/>
      <c r="E92" s="433" t="s">
        <v>284</v>
      </c>
      <c r="F92" s="433"/>
      <c r="G92" s="434"/>
      <c r="H92" s="128">
        <f>SUM(H82:H91)</f>
        <v>9278.5071540000008</v>
      </c>
    </row>
    <row r="93" spans="1:8">
      <c r="A93" s="129"/>
      <c r="B93" s="15"/>
      <c r="C93" s="15"/>
      <c r="D93" s="15"/>
      <c r="E93" s="16"/>
      <c r="F93" s="17" t="s">
        <v>331</v>
      </c>
      <c r="G93" s="18">
        <f>$G$9</f>
        <v>0.21378112315270936</v>
      </c>
      <c r="H93" s="130">
        <f>ROUND(H92*G93,2)</f>
        <v>1983.57</v>
      </c>
    </row>
    <row r="94" spans="1:8">
      <c r="A94" s="131"/>
      <c r="B94" s="19"/>
      <c r="C94" s="19"/>
      <c r="D94" s="19"/>
      <c r="E94" s="20"/>
      <c r="F94" s="20"/>
      <c r="G94" s="21" t="s">
        <v>332</v>
      </c>
      <c r="H94" s="132">
        <f>H92+H93</f>
        <v>11262.077154000001</v>
      </c>
    </row>
    <row r="95" spans="1:8">
      <c r="A95" s="133"/>
      <c r="B95" s="22"/>
      <c r="C95" s="22"/>
      <c r="D95" s="22"/>
      <c r="E95" s="23" t="str">
        <f>A80</f>
        <v>CPU-14</v>
      </c>
      <c r="F95" s="435" t="s">
        <v>286</v>
      </c>
      <c r="G95" s="436"/>
      <c r="H95" s="134">
        <f>H94</f>
        <v>11262.077154000001</v>
      </c>
    </row>
    <row r="96" spans="1:8">
      <c r="A96" s="120"/>
      <c r="H96" s="121"/>
    </row>
    <row r="97" spans="1:8">
      <c r="A97" s="443" t="s">
        <v>123</v>
      </c>
      <c r="B97" s="437" t="s">
        <v>22</v>
      </c>
      <c r="C97" s="437"/>
      <c r="D97" s="446" t="s">
        <v>364</v>
      </c>
      <c r="E97" s="437" t="s">
        <v>321</v>
      </c>
      <c r="F97" s="439" t="s">
        <v>322</v>
      </c>
      <c r="G97" s="439" t="s">
        <v>323</v>
      </c>
      <c r="H97" s="449" t="s">
        <v>279</v>
      </c>
    </row>
    <row r="98" spans="1:8">
      <c r="A98" s="444"/>
      <c r="B98" s="438"/>
      <c r="C98" s="438"/>
      <c r="D98" s="445" t="s">
        <v>337</v>
      </c>
      <c r="E98" s="438"/>
      <c r="F98" s="440"/>
      <c r="G98" s="440"/>
      <c r="H98" s="450"/>
    </row>
    <row r="99" spans="1:8">
      <c r="A99" s="124" t="s">
        <v>307</v>
      </c>
      <c r="B99" s="12" t="s">
        <v>30</v>
      </c>
      <c r="C99" s="12">
        <v>88262</v>
      </c>
      <c r="D99" s="24" t="s">
        <v>310</v>
      </c>
      <c r="E99" s="12" t="s">
        <v>283</v>
      </c>
      <c r="F99" s="13">
        <v>0.5</v>
      </c>
      <c r="G99" s="309">
        <v>26.39</v>
      </c>
      <c r="H99" s="125">
        <f t="shared" ref="H99:H106" si="4">F99*G99</f>
        <v>13.195</v>
      </c>
    </row>
    <row r="100" spans="1:8">
      <c r="A100" s="124" t="s">
        <v>307</v>
      </c>
      <c r="B100" s="12" t="s">
        <v>30</v>
      </c>
      <c r="C100" s="12">
        <v>88239</v>
      </c>
      <c r="D100" s="24" t="s">
        <v>338</v>
      </c>
      <c r="E100" s="12" t="s">
        <v>283</v>
      </c>
      <c r="F100" s="13">
        <v>0.5</v>
      </c>
      <c r="G100" s="309">
        <v>22.42</v>
      </c>
      <c r="H100" s="125">
        <f t="shared" si="4"/>
        <v>11.21</v>
      </c>
    </row>
    <row r="101" spans="1:8">
      <c r="A101" s="124" t="s">
        <v>298</v>
      </c>
      <c r="B101" s="12" t="s">
        <v>30</v>
      </c>
      <c r="C101" s="12">
        <v>1685</v>
      </c>
      <c r="D101" s="24" t="s">
        <v>365</v>
      </c>
      <c r="E101" s="12" t="s">
        <v>14</v>
      </c>
      <c r="F101" s="13">
        <v>12</v>
      </c>
      <c r="G101" s="309">
        <v>9.74</v>
      </c>
      <c r="H101" s="125">
        <f t="shared" si="4"/>
        <v>116.88</v>
      </c>
    </row>
    <row r="102" spans="1:8">
      <c r="A102" s="124" t="s">
        <v>307</v>
      </c>
      <c r="B102" s="12" t="s">
        <v>30</v>
      </c>
      <c r="C102" s="12">
        <v>10045</v>
      </c>
      <c r="D102" s="24" t="s">
        <v>366</v>
      </c>
      <c r="E102" s="12" t="s">
        <v>186</v>
      </c>
      <c r="F102" s="13">
        <v>0.8</v>
      </c>
      <c r="G102" s="309">
        <v>103.9</v>
      </c>
      <c r="H102" s="125">
        <f t="shared" si="4"/>
        <v>83.12</v>
      </c>
    </row>
    <row r="103" spans="1:8" ht="22.5">
      <c r="A103" s="124" t="s">
        <v>307</v>
      </c>
      <c r="B103" s="12" t="s">
        <v>339</v>
      </c>
      <c r="C103" s="12">
        <v>94964</v>
      </c>
      <c r="D103" s="24" t="s">
        <v>340</v>
      </c>
      <c r="E103" s="12" t="s">
        <v>87</v>
      </c>
      <c r="F103" s="13">
        <v>0.2</v>
      </c>
      <c r="G103" s="13">
        <v>449.17</v>
      </c>
      <c r="H103" s="125">
        <f t="shared" si="4"/>
        <v>89.834000000000003</v>
      </c>
    </row>
    <row r="104" spans="1:8">
      <c r="A104" s="124" t="s">
        <v>298</v>
      </c>
      <c r="B104" s="12" t="s">
        <v>26</v>
      </c>
      <c r="C104" s="12">
        <v>20205</v>
      </c>
      <c r="D104" s="24" t="s">
        <v>367</v>
      </c>
      <c r="E104" s="12" t="s">
        <v>107</v>
      </c>
      <c r="F104" s="13">
        <v>6</v>
      </c>
      <c r="G104" s="13">
        <v>31.79</v>
      </c>
      <c r="H104" s="125">
        <f t="shared" si="4"/>
        <v>190.74</v>
      </c>
    </row>
    <row r="105" spans="1:8">
      <c r="A105" s="124" t="s">
        <v>307</v>
      </c>
      <c r="B105" s="12" t="s">
        <v>26</v>
      </c>
      <c r="C105" s="12">
        <v>92763</v>
      </c>
      <c r="D105" s="24" t="s">
        <v>341</v>
      </c>
      <c r="E105" s="12" t="s">
        <v>187</v>
      </c>
      <c r="F105" s="13">
        <v>24</v>
      </c>
      <c r="G105" s="13">
        <v>12.44</v>
      </c>
      <c r="H105" s="125">
        <f t="shared" si="4"/>
        <v>298.56</v>
      </c>
    </row>
    <row r="106" spans="1:8">
      <c r="A106" s="124" t="s">
        <v>307</v>
      </c>
      <c r="B106" s="12" t="s">
        <v>26</v>
      </c>
      <c r="C106" s="12">
        <v>102213</v>
      </c>
      <c r="D106" s="24" t="s">
        <v>342</v>
      </c>
      <c r="E106" s="25" t="s">
        <v>38</v>
      </c>
      <c r="F106" s="13">
        <v>1.44</v>
      </c>
      <c r="G106" s="13">
        <v>18.91</v>
      </c>
      <c r="H106" s="125">
        <f t="shared" si="4"/>
        <v>27.230399999999999</v>
      </c>
    </row>
    <row r="107" spans="1:8">
      <c r="A107" s="127"/>
      <c r="B107" s="14"/>
      <c r="C107" s="14"/>
      <c r="D107" s="14"/>
      <c r="E107" s="433" t="s">
        <v>284</v>
      </c>
      <c r="F107" s="433"/>
      <c r="G107" s="434"/>
      <c r="H107" s="128">
        <f>SUM(H99:H106)</f>
        <v>830.76940000000002</v>
      </c>
    </row>
    <row r="108" spans="1:8">
      <c r="A108" s="129"/>
      <c r="B108" s="15"/>
      <c r="C108" s="15"/>
      <c r="D108" s="15"/>
      <c r="E108" s="16"/>
      <c r="F108" s="17" t="s">
        <v>331</v>
      </c>
      <c r="G108" s="18">
        <f>$G$9</f>
        <v>0.21378112315270936</v>
      </c>
      <c r="H108" s="130">
        <f>ROUND(H107*G108,2)</f>
        <v>177.6</v>
      </c>
    </row>
    <row r="109" spans="1:8">
      <c r="A109" s="131"/>
      <c r="B109" s="19"/>
      <c r="C109" s="19"/>
      <c r="D109" s="19"/>
      <c r="E109" s="20"/>
      <c r="F109" s="20"/>
      <c r="G109" s="21" t="s">
        <v>332</v>
      </c>
      <c r="H109" s="132">
        <f>H107+H108</f>
        <v>1008.3694</v>
      </c>
    </row>
    <row r="110" spans="1:8" ht="13.5" thickBot="1">
      <c r="A110" s="135"/>
      <c r="B110" s="136"/>
      <c r="C110" s="136"/>
      <c r="D110" s="136"/>
      <c r="E110" s="137" t="str">
        <f>A97</f>
        <v>CPU-16</v>
      </c>
      <c r="F110" s="441" t="s">
        <v>286</v>
      </c>
      <c r="G110" s="442"/>
      <c r="H110" s="138">
        <f>H109</f>
        <v>1008.3694</v>
      </c>
    </row>
    <row r="111" spans="1:8">
      <c r="A111" s="120"/>
      <c r="H111" s="121"/>
    </row>
    <row r="112" spans="1:8">
      <c r="A112" s="443" t="s">
        <v>165</v>
      </c>
      <c r="B112" s="437" t="s">
        <v>22</v>
      </c>
      <c r="C112" s="437"/>
      <c r="D112" s="446" t="s">
        <v>368</v>
      </c>
      <c r="E112" s="437" t="s">
        <v>321</v>
      </c>
      <c r="F112" s="439" t="s">
        <v>322</v>
      </c>
      <c r="G112" s="439" t="s">
        <v>323</v>
      </c>
      <c r="H112" s="449" t="s">
        <v>279</v>
      </c>
    </row>
    <row r="113" spans="1:12">
      <c r="A113" s="444"/>
      <c r="B113" s="438"/>
      <c r="C113" s="438"/>
      <c r="D113" s="445" t="s">
        <v>337</v>
      </c>
      <c r="E113" s="438"/>
      <c r="F113" s="440"/>
      <c r="G113" s="440"/>
      <c r="H113" s="450"/>
    </row>
    <row r="114" spans="1:12" ht="12.75" customHeight="1">
      <c r="A114" s="124" t="s">
        <v>307</v>
      </c>
      <c r="B114" s="12" t="s">
        <v>30</v>
      </c>
      <c r="C114" s="12">
        <v>115</v>
      </c>
      <c r="D114" s="24" t="s">
        <v>369</v>
      </c>
      <c r="E114" s="12" t="s">
        <v>44</v>
      </c>
      <c r="F114" s="309">
        <v>6.7</v>
      </c>
      <c r="G114" s="13">
        <v>34.79</v>
      </c>
      <c r="H114" s="125">
        <f>F114*G114</f>
        <v>233.09299999999999</v>
      </c>
    </row>
    <row r="115" spans="1:12" ht="22.5">
      <c r="A115" s="124" t="s">
        <v>307</v>
      </c>
      <c r="B115" s="12" t="s">
        <v>30</v>
      </c>
      <c r="C115" s="12">
        <v>140</v>
      </c>
      <c r="D115" s="24" t="s">
        <v>370</v>
      </c>
      <c r="E115" s="12" t="s">
        <v>187</v>
      </c>
      <c r="F115" s="309">
        <v>50</v>
      </c>
      <c r="G115" s="13">
        <v>18.02</v>
      </c>
      <c r="H115" s="125">
        <f>F115*G115</f>
        <v>901</v>
      </c>
    </row>
    <row r="116" spans="1:12" ht="22.5">
      <c r="A116" s="124" t="s">
        <v>307</v>
      </c>
      <c r="B116" s="12" t="s">
        <v>339</v>
      </c>
      <c r="C116" s="12">
        <v>94964</v>
      </c>
      <c r="D116" s="24" t="s">
        <v>340</v>
      </c>
      <c r="E116" s="12" t="s">
        <v>185</v>
      </c>
      <c r="F116" s="309">
        <v>1</v>
      </c>
      <c r="G116" s="13">
        <v>449.17</v>
      </c>
      <c r="H116" s="125">
        <f>F116*G116</f>
        <v>449.17</v>
      </c>
      <c r="L116">
        <f>1/0.06</f>
        <v>16.666666666666668</v>
      </c>
    </row>
    <row r="117" spans="1:12">
      <c r="A117" s="124" t="s">
        <v>307</v>
      </c>
      <c r="B117" s="12" t="s">
        <v>339</v>
      </c>
      <c r="C117" s="12">
        <v>97087</v>
      </c>
      <c r="D117" s="24" t="s">
        <v>371</v>
      </c>
      <c r="E117" s="12" t="s">
        <v>186</v>
      </c>
      <c r="F117" s="13">
        <v>9.4499999999999993</v>
      </c>
      <c r="G117" s="13">
        <v>2.66</v>
      </c>
      <c r="H117" s="125">
        <f>F117*G117</f>
        <v>25.137</v>
      </c>
    </row>
    <row r="118" spans="1:12">
      <c r="A118" s="127"/>
      <c r="B118" s="14"/>
      <c r="C118" s="14"/>
      <c r="D118" s="14"/>
      <c r="E118" s="433" t="s">
        <v>284</v>
      </c>
      <c r="F118" s="433"/>
      <c r="G118" s="434"/>
      <c r="H118" s="128">
        <f>SUM(H114:H117)</f>
        <v>1608.4</v>
      </c>
    </row>
    <row r="119" spans="1:12">
      <c r="A119" s="129"/>
      <c r="B119" s="15"/>
      <c r="C119" s="15"/>
      <c r="D119" s="15"/>
      <c r="E119" s="16"/>
      <c r="F119" s="17" t="s">
        <v>331</v>
      </c>
      <c r="G119" s="18">
        <f>$G$9</f>
        <v>0.21378112315270936</v>
      </c>
      <c r="H119" s="130">
        <f>ROUND(H118*G119,2)</f>
        <v>343.85</v>
      </c>
    </row>
    <row r="120" spans="1:12">
      <c r="A120" s="131"/>
      <c r="B120" s="19"/>
      <c r="C120" s="19"/>
      <c r="D120" s="19"/>
      <c r="E120" s="20"/>
      <c r="F120" s="20"/>
      <c r="G120" s="21" t="s">
        <v>332</v>
      </c>
      <c r="H120" s="132">
        <f>H118+H119</f>
        <v>1952.25</v>
      </c>
    </row>
    <row r="121" spans="1:12" ht="13.5" thickBot="1">
      <c r="A121" s="135"/>
      <c r="B121" s="136"/>
      <c r="C121" s="136"/>
      <c r="D121" s="136"/>
      <c r="E121" s="137" t="str">
        <f>A112</f>
        <v>CPU-17</v>
      </c>
      <c r="F121" s="441" t="s">
        <v>286</v>
      </c>
      <c r="G121" s="442"/>
      <c r="H121" s="138">
        <f>H120</f>
        <v>1952.25</v>
      </c>
    </row>
    <row r="122" spans="1:12">
      <c r="A122" s="120"/>
      <c r="H122" s="121"/>
    </row>
    <row r="123" spans="1:12">
      <c r="A123" s="443" t="s">
        <v>169</v>
      </c>
      <c r="B123" s="437" t="s">
        <v>22</v>
      </c>
      <c r="C123" s="437"/>
      <c r="D123" s="446" t="s">
        <v>372</v>
      </c>
      <c r="E123" s="437" t="s">
        <v>321</v>
      </c>
      <c r="F123" s="439" t="s">
        <v>322</v>
      </c>
      <c r="G123" s="439" t="s">
        <v>323</v>
      </c>
      <c r="H123" s="449" t="s">
        <v>279</v>
      </c>
    </row>
    <row r="124" spans="1:12">
      <c r="A124" s="444"/>
      <c r="B124" s="438"/>
      <c r="C124" s="438"/>
      <c r="D124" s="445" t="s">
        <v>337</v>
      </c>
      <c r="E124" s="438"/>
      <c r="F124" s="440"/>
      <c r="G124" s="440"/>
      <c r="H124" s="450"/>
    </row>
    <row r="125" spans="1:12" ht="22.5">
      <c r="A125" s="124" t="s">
        <v>307</v>
      </c>
      <c r="B125" s="12" t="s">
        <v>30</v>
      </c>
      <c r="C125" s="12">
        <v>2657</v>
      </c>
      <c r="D125" s="24" t="s">
        <v>373</v>
      </c>
      <c r="E125" s="12" t="s">
        <v>185</v>
      </c>
      <c r="F125" s="309">
        <v>0.05</v>
      </c>
      <c r="G125" s="13">
        <v>142.4</v>
      </c>
      <c r="H125" s="125">
        <f>F125*G125</f>
        <v>7.120000000000001</v>
      </c>
    </row>
    <row r="126" spans="1:12" ht="22.5">
      <c r="A126" s="124" t="s">
        <v>307</v>
      </c>
      <c r="B126" s="12" t="s">
        <v>339</v>
      </c>
      <c r="C126" s="12">
        <v>97086</v>
      </c>
      <c r="D126" s="24" t="s">
        <v>374</v>
      </c>
      <c r="E126" s="12" t="s">
        <v>44</v>
      </c>
      <c r="F126" s="309">
        <v>0.08</v>
      </c>
      <c r="G126" s="13">
        <v>133.22</v>
      </c>
      <c r="H126" s="125">
        <f>F126*G126</f>
        <v>10.6576</v>
      </c>
    </row>
    <row r="127" spans="1:12" ht="22.5">
      <c r="A127" s="124" t="s">
        <v>307</v>
      </c>
      <c r="B127" s="12" t="s">
        <v>339</v>
      </c>
      <c r="C127" s="12">
        <v>97087</v>
      </c>
      <c r="D127" s="24" t="s">
        <v>375</v>
      </c>
      <c r="E127" s="12" t="s">
        <v>44</v>
      </c>
      <c r="F127" s="309">
        <v>1</v>
      </c>
      <c r="G127" s="13">
        <v>2.66</v>
      </c>
      <c r="H127" s="125">
        <f>F127*G127</f>
        <v>2.66</v>
      </c>
    </row>
    <row r="128" spans="1:12" ht="22.5">
      <c r="A128" s="124" t="s">
        <v>307</v>
      </c>
      <c r="B128" s="12" t="s">
        <v>339</v>
      </c>
      <c r="C128" s="12">
        <v>97089</v>
      </c>
      <c r="D128" s="24" t="s">
        <v>376</v>
      </c>
      <c r="E128" s="12" t="s">
        <v>187</v>
      </c>
      <c r="F128" s="309">
        <v>1.8</v>
      </c>
      <c r="G128" s="13">
        <v>21.57</v>
      </c>
      <c r="H128" s="125">
        <f>F128*G128</f>
        <v>38.826000000000001</v>
      </c>
    </row>
    <row r="129" spans="1:8" ht="22.5">
      <c r="A129" s="124" t="s">
        <v>307</v>
      </c>
      <c r="B129" s="12" t="s">
        <v>339</v>
      </c>
      <c r="C129" s="12">
        <v>94964</v>
      </c>
      <c r="D129" s="24" t="s">
        <v>340</v>
      </c>
      <c r="E129" s="12" t="s">
        <v>87</v>
      </c>
      <c r="F129" s="309">
        <v>0.1</v>
      </c>
      <c r="G129" s="13">
        <v>449.17</v>
      </c>
      <c r="H129" s="125">
        <f>F129*G129</f>
        <v>44.917000000000002</v>
      </c>
    </row>
    <row r="130" spans="1:8">
      <c r="A130" s="127"/>
      <c r="B130" s="14"/>
      <c r="C130" s="14"/>
      <c r="D130" s="14"/>
      <c r="E130" s="433" t="s">
        <v>284</v>
      </c>
      <c r="F130" s="433"/>
      <c r="G130" s="434"/>
      <c r="H130" s="128">
        <f>SUM(H125:H129)</f>
        <v>104.1806</v>
      </c>
    </row>
    <row r="131" spans="1:8">
      <c r="A131" s="129"/>
      <c r="B131" s="15"/>
      <c r="C131" s="15"/>
      <c r="D131" s="15"/>
      <c r="E131" s="16"/>
      <c r="F131" s="17" t="s">
        <v>331</v>
      </c>
      <c r="G131" s="18">
        <f>$G$9</f>
        <v>0.21378112315270936</v>
      </c>
      <c r="H131" s="130">
        <f>ROUND(H130*G131,2)</f>
        <v>22.27</v>
      </c>
    </row>
    <row r="132" spans="1:8">
      <c r="A132" s="131"/>
      <c r="B132" s="19"/>
      <c r="C132" s="19"/>
      <c r="D132" s="19"/>
      <c r="E132" s="20"/>
      <c r="F132" s="20"/>
      <c r="G132" s="21" t="s">
        <v>332</v>
      </c>
      <c r="H132" s="132">
        <f>H130+H131</f>
        <v>126.45059999999999</v>
      </c>
    </row>
    <row r="133" spans="1:8" ht="13.5" thickBot="1">
      <c r="A133" s="135"/>
      <c r="B133" s="136"/>
      <c r="C133" s="136"/>
      <c r="D133" s="136"/>
      <c r="E133" s="137" t="str">
        <f>A123</f>
        <v>CPU-18</v>
      </c>
      <c r="F133" s="441" t="s">
        <v>286</v>
      </c>
      <c r="G133" s="442"/>
      <c r="H133" s="138">
        <f>H132</f>
        <v>126.45059999999999</v>
      </c>
    </row>
    <row r="134" spans="1:8">
      <c r="A134" s="120"/>
      <c r="H134" s="121"/>
    </row>
    <row r="135" spans="1:8">
      <c r="A135" s="443" t="s">
        <v>82</v>
      </c>
      <c r="B135" s="437" t="s">
        <v>22</v>
      </c>
      <c r="C135" s="437"/>
      <c r="D135" s="446" t="s">
        <v>377</v>
      </c>
      <c r="E135" s="437" t="s">
        <v>321</v>
      </c>
      <c r="F135" s="439" t="s">
        <v>322</v>
      </c>
      <c r="G135" s="439" t="s">
        <v>323</v>
      </c>
      <c r="H135" s="449" t="s">
        <v>279</v>
      </c>
    </row>
    <row r="136" spans="1:8">
      <c r="A136" s="444"/>
      <c r="B136" s="438"/>
      <c r="C136" s="438"/>
      <c r="D136" s="445" t="s">
        <v>337</v>
      </c>
      <c r="E136" s="438"/>
      <c r="F136" s="440"/>
      <c r="G136" s="440"/>
      <c r="H136" s="450"/>
    </row>
    <row r="137" spans="1:8" ht="12.75" customHeight="1">
      <c r="A137" s="124" t="s">
        <v>307</v>
      </c>
      <c r="B137" s="12" t="s">
        <v>30</v>
      </c>
      <c r="C137" s="12">
        <v>2418</v>
      </c>
      <c r="D137" s="24" t="s">
        <v>378</v>
      </c>
      <c r="E137" s="12" t="s">
        <v>14</v>
      </c>
      <c r="F137" s="13">
        <v>1</v>
      </c>
      <c r="G137" s="13">
        <v>1690</v>
      </c>
      <c r="H137" s="125">
        <f>F137*G137</f>
        <v>1690</v>
      </c>
    </row>
    <row r="138" spans="1:8">
      <c r="A138" s="124" t="s">
        <v>307</v>
      </c>
      <c r="B138" s="12" t="s">
        <v>30</v>
      </c>
      <c r="C138" s="12">
        <v>2440</v>
      </c>
      <c r="D138" s="24" t="s">
        <v>379</v>
      </c>
      <c r="E138" s="12" t="s">
        <v>14</v>
      </c>
      <c r="F138" s="13">
        <v>1</v>
      </c>
      <c r="G138" s="13">
        <v>3990</v>
      </c>
      <c r="H138" s="125">
        <f>F138*G138</f>
        <v>3990</v>
      </c>
    </row>
    <row r="139" spans="1:8" ht="22.5">
      <c r="A139" s="124" t="s">
        <v>307</v>
      </c>
      <c r="B139" s="12" t="s">
        <v>30</v>
      </c>
      <c r="C139" s="12">
        <v>9160</v>
      </c>
      <c r="D139" s="24" t="s">
        <v>380</v>
      </c>
      <c r="E139" s="12" t="s">
        <v>14</v>
      </c>
      <c r="F139" s="13">
        <v>1</v>
      </c>
      <c r="G139" s="13">
        <v>3873.94</v>
      </c>
      <c r="H139" s="125">
        <f>F139*G139</f>
        <v>3873.94</v>
      </c>
    </row>
    <row r="140" spans="1:8">
      <c r="A140" s="124" t="s">
        <v>307</v>
      </c>
      <c r="B140" s="12" t="s">
        <v>30</v>
      </c>
      <c r="C140" s="12">
        <v>2406</v>
      </c>
      <c r="D140" s="24" t="s">
        <v>381</v>
      </c>
      <c r="E140" s="12" t="s">
        <v>14</v>
      </c>
      <c r="F140" s="13">
        <v>1</v>
      </c>
      <c r="G140" s="13">
        <v>2830</v>
      </c>
      <c r="H140" s="125">
        <f>F140*G140</f>
        <v>2830</v>
      </c>
    </row>
    <row r="141" spans="1:8">
      <c r="A141" s="127"/>
      <c r="B141" s="14"/>
      <c r="C141" s="14"/>
      <c r="D141" s="14"/>
      <c r="E141" s="433" t="s">
        <v>284</v>
      </c>
      <c r="F141" s="433"/>
      <c r="G141" s="434"/>
      <c r="H141" s="128">
        <f>SUM(H137:H140)</f>
        <v>12383.94</v>
      </c>
    </row>
    <row r="142" spans="1:8">
      <c r="A142" s="129"/>
      <c r="B142" s="15"/>
      <c r="C142" s="15"/>
      <c r="D142" s="15"/>
      <c r="E142" s="16"/>
      <c r="F142" s="17" t="s">
        <v>331</v>
      </c>
      <c r="G142" s="18">
        <f>$G$9</f>
        <v>0.21378112315270936</v>
      </c>
      <c r="H142" s="130">
        <f>ROUND(H141*G142,2)</f>
        <v>2647.45</v>
      </c>
    </row>
    <row r="143" spans="1:8">
      <c r="A143" s="131"/>
      <c r="B143" s="19"/>
      <c r="C143" s="19"/>
      <c r="D143" s="19"/>
      <c r="E143" s="20"/>
      <c r="F143" s="20"/>
      <c r="G143" s="21" t="s">
        <v>332</v>
      </c>
      <c r="H143" s="132">
        <f>H141+H142</f>
        <v>15031.39</v>
      </c>
    </row>
    <row r="144" spans="1:8" ht="13.5" thickBot="1">
      <c r="A144" s="135"/>
      <c r="B144" s="136"/>
      <c r="C144" s="136"/>
      <c r="D144" s="136"/>
      <c r="E144" s="137" t="str">
        <f>A135</f>
        <v>CPU-19</v>
      </c>
      <c r="F144" s="441" t="s">
        <v>286</v>
      </c>
      <c r="G144" s="442"/>
      <c r="H144" s="138">
        <f>H143</f>
        <v>15031.39</v>
      </c>
    </row>
    <row r="145" spans="1:8">
      <c r="A145" s="120"/>
      <c r="H145" s="121"/>
    </row>
    <row r="146" spans="1:8">
      <c r="A146" s="443" t="s">
        <v>46</v>
      </c>
      <c r="B146" s="437" t="s">
        <v>22</v>
      </c>
      <c r="C146" s="437" t="s">
        <v>333</v>
      </c>
      <c r="D146" s="446" t="s">
        <v>388</v>
      </c>
      <c r="E146" s="437" t="s">
        <v>321</v>
      </c>
      <c r="F146" s="439" t="s">
        <v>322</v>
      </c>
      <c r="G146" s="439" t="s">
        <v>323</v>
      </c>
      <c r="H146" s="449" t="s">
        <v>279</v>
      </c>
    </row>
    <row r="147" spans="1:8" ht="24" customHeight="1">
      <c r="A147" s="444"/>
      <c r="B147" s="438"/>
      <c r="C147" s="438"/>
      <c r="D147" s="445"/>
      <c r="E147" s="438"/>
      <c r="F147" s="440"/>
      <c r="G147" s="440"/>
      <c r="H147" s="450"/>
    </row>
    <row r="148" spans="1:8">
      <c r="A148" s="124" t="s">
        <v>280</v>
      </c>
      <c r="B148" s="12" t="s">
        <v>63</v>
      </c>
      <c r="C148" s="12" t="s">
        <v>382</v>
      </c>
      <c r="D148" s="26" t="s">
        <v>383</v>
      </c>
      <c r="E148" s="12" t="s">
        <v>291</v>
      </c>
      <c r="F148" s="13">
        <v>1E-3</v>
      </c>
      <c r="G148" s="13">
        <v>195.57</v>
      </c>
      <c r="H148" s="125">
        <f>F148*G148</f>
        <v>0.19556999999999999</v>
      </c>
    </row>
    <row r="149" spans="1:8">
      <c r="A149" s="124" t="s">
        <v>280</v>
      </c>
      <c r="B149" s="12" t="s">
        <v>63</v>
      </c>
      <c r="C149" s="12" t="s">
        <v>382</v>
      </c>
      <c r="D149" s="26" t="s">
        <v>383</v>
      </c>
      <c r="E149" s="12" t="s">
        <v>336</v>
      </c>
      <c r="F149" s="13">
        <v>7.0000000000000001E-3</v>
      </c>
      <c r="G149" s="13">
        <v>58.7</v>
      </c>
      <c r="H149" s="125">
        <f t="shared" ref="H149:H154" si="5">F149*G149</f>
        <v>0.41090000000000004</v>
      </c>
    </row>
    <row r="150" spans="1:8" ht="22.5">
      <c r="A150" s="124" t="s">
        <v>280</v>
      </c>
      <c r="B150" s="12" t="s">
        <v>26</v>
      </c>
      <c r="C150" s="12">
        <v>5932</v>
      </c>
      <c r="D150" s="24" t="s">
        <v>384</v>
      </c>
      <c r="E150" s="12" t="s">
        <v>291</v>
      </c>
      <c r="F150" s="13">
        <v>1E-4</v>
      </c>
      <c r="G150" s="13">
        <v>237.15</v>
      </c>
      <c r="H150" s="125">
        <f t="shared" si="5"/>
        <v>2.3715000000000003E-2</v>
      </c>
    </row>
    <row r="151" spans="1:8" ht="22.5">
      <c r="A151" s="126" t="s">
        <v>280</v>
      </c>
      <c r="B151" s="12" t="s">
        <v>26</v>
      </c>
      <c r="C151" s="12">
        <v>5934</v>
      </c>
      <c r="D151" s="24" t="s">
        <v>385</v>
      </c>
      <c r="E151" s="12" t="s">
        <v>336</v>
      </c>
      <c r="F151" s="13">
        <v>8.0000000000000002E-3</v>
      </c>
      <c r="G151" s="13">
        <v>91.45</v>
      </c>
      <c r="H151" s="125">
        <f t="shared" si="5"/>
        <v>0.73160000000000003</v>
      </c>
    </row>
    <row r="152" spans="1:8">
      <c r="A152" s="126" t="s">
        <v>280</v>
      </c>
      <c r="B152" s="12" t="s">
        <v>63</v>
      </c>
      <c r="C152" s="12" t="s">
        <v>386</v>
      </c>
      <c r="D152" s="26" t="s">
        <v>387</v>
      </c>
      <c r="E152" s="12" t="s">
        <v>291</v>
      </c>
      <c r="F152" s="13">
        <v>2E-3</v>
      </c>
      <c r="G152" s="309">
        <v>162.12</v>
      </c>
      <c r="H152" s="125">
        <f t="shared" si="5"/>
        <v>0.32424000000000003</v>
      </c>
    </row>
    <row r="153" spans="1:8">
      <c r="A153" s="126" t="s">
        <v>280</v>
      </c>
      <c r="B153" s="12" t="s">
        <v>26</v>
      </c>
      <c r="C153" s="12">
        <v>88316</v>
      </c>
      <c r="D153" s="24" t="s">
        <v>311</v>
      </c>
      <c r="E153" s="12" t="s">
        <v>283</v>
      </c>
      <c r="F153" s="13">
        <v>8.0000000000000002E-3</v>
      </c>
      <c r="G153" s="309">
        <v>18.79</v>
      </c>
      <c r="H153" s="125">
        <f t="shared" si="5"/>
        <v>0.15032000000000001</v>
      </c>
    </row>
    <row r="154" spans="1:8" ht="22.5">
      <c r="A154" s="126" t="s">
        <v>280</v>
      </c>
      <c r="B154" s="12" t="s">
        <v>26</v>
      </c>
      <c r="C154" s="12">
        <v>93244</v>
      </c>
      <c r="D154" s="24" t="s">
        <v>389</v>
      </c>
      <c r="E154" s="12" t="s">
        <v>336</v>
      </c>
      <c r="F154" s="13">
        <v>6.0000000000000001E-3</v>
      </c>
      <c r="G154" s="13">
        <v>73.78</v>
      </c>
      <c r="H154" s="125">
        <f t="shared" si="5"/>
        <v>0.44268000000000002</v>
      </c>
    </row>
    <row r="155" spans="1:8">
      <c r="A155" s="127"/>
      <c r="B155" s="14"/>
      <c r="C155" s="14"/>
      <c r="D155" s="14"/>
      <c r="E155" s="433" t="s">
        <v>284</v>
      </c>
      <c r="F155" s="433"/>
      <c r="G155" s="434"/>
      <c r="H155" s="128">
        <f>SUM(H148:H154)</f>
        <v>2.2790250000000003</v>
      </c>
    </row>
    <row r="156" spans="1:8">
      <c r="A156" s="129"/>
      <c r="B156" s="15"/>
      <c r="C156" s="15"/>
      <c r="D156" s="15"/>
      <c r="E156" s="16"/>
      <c r="F156" s="17" t="s">
        <v>331</v>
      </c>
      <c r="G156" s="18">
        <f>$G$9</f>
        <v>0.21378112315270936</v>
      </c>
      <c r="H156" s="130">
        <f>ROUND(H155*G156,2)</f>
        <v>0.49</v>
      </c>
    </row>
    <row r="157" spans="1:8">
      <c r="A157" s="131"/>
      <c r="B157" s="19"/>
      <c r="C157" s="19"/>
      <c r="D157" s="19"/>
      <c r="E157" s="20"/>
      <c r="F157" s="20"/>
      <c r="G157" s="21" t="s">
        <v>332</v>
      </c>
      <c r="H157" s="132">
        <f>H155+H156</f>
        <v>2.7690250000000001</v>
      </c>
    </row>
    <row r="158" spans="1:8">
      <c r="A158" s="135"/>
      <c r="B158" s="136"/>
      <c r="C158" s="136"/>
      <c r="D158" s="136"/>
      <c r="E158" s="137" t="str">
        <f>A146</f>
        <v>CPU-23</v>
      </c>
      <c r="F158" s="441" t="s">
        <v>286</v>
      </c>
      <c r="G158" s="442"/>
      <c r="H158" s="138">
        <f>H157</f>
        <v>2.7690250000000001</v>
      </c>
    </row>
  </sheetData>
  <mergeCells count="121">
    <mergeCell ref="G146:G147"/>
    <mergeCell ref="H14:H15"/>
    <mergeCell ref="H29:H30"/>
    <mergeCell ref="H38:H39"/>
    <mergeCell ref="H49:H50"/>
    <mergeCell ref="H64:H65"/>
    <mergeCell ref="H80:H81"/>
    <mergeCell ref="H97:H98"/>
    <mergeCell ref="H112:H113"/>
    <mergeCell ref="H123:H124"/>
    <mergeCell ref="H135:H136"/>
    <mergeCell ref="H146:H147"/>
    <mergeCell ref="G29:G30"/>
    <mergeCell ref="G38:G39"/>
    <mergeCell ref="G49:G50"/>
    <mergeCell ref="F144:G144"/>
    <mergeCell ref="E146:E147"/>
    <mergeCell ref="F14:F15"/>
    <mergeCell ref="F29:F30"/>
    <mergeCell ref="F38:F39"/>
    <mergeCell ref="F49:F50"/>
    <mergeCell ref="F64:F65"/>
    <mergeCell ref="F80:F81"/>
    <mergeCell ref="F97:F98"/>
    <mergeCell ref="F112:F113"/>
    <mergeCell ref="F123:F124"/>
    <mergeCell ref="F135:F136"/>
    <mergeCell ref="F146:F147"/>
    <mergeCell ref="E29:E30"/>
    <mergeCell ref="E38:E39"/>
    <mergeCell ref="E49:E50"/>
    <mergeCell ref="E64:E65"/>
    <mergeCell ref="F133:G133"/>
    <mergeCell ref="E107:G107"/>
    <mergeCell ref="E118:G118"/>
    <mergeCell ref="E130:G130"/>
    <mergeCell ref="E141:G141"/>
    <mergeCell ref="E123:E124"/>
    <mergeCell ref="E135:E136"/>
    <mergeCell ref="G112:G113"/>
    <mergeCell ref="F121:G121"/>
    <mergeCell ref="F110:G110"/>
    <mergeCell ref="G123:G124"/>
    <mergeCell ref="G135:G136"/>
    <mergeCell ref="E80:E81"/>
    <mergeCell ref="E97:E98"/>
    <mergeCell ref="E112:E113"/>
    <mergeCell ref="G97:G98"/>
    <mergeCell ref="C146:C147"/>
    <mergeCell ref="D14:D15"/>
    <mergeCell ref="D29:D30"/>
    <mergeCell ref="D38:D39"/>
    <mergeCell ref="D49:D50"/>
    <mergeCell ref="D64:D65"/>
    <mergeCell ref="D80:D81"/>
    <mergeCell ref="D97:D98"/>
    <mergeCell ref="D112:D113"/>
    <mergeCell ref="D123:D124"/>
    <mergeCell ref="D135:D136"/>
    <mergeCell ref="D146:D147"/>
    <mergeCell ref="B123:B124"/>
    <mergeCell ref="B135:B136"/>
    <mergeCell ref="B146:B147"/>
    <mergeCell ref="C14:C15"/>
    <mergeCell ref="C29:C30"/>
    <mergeCell ref="C38:C39"/>
    <mergeCell ref="C49:C50"/>
    <mergeCell ref="C64:C65"/>
    <mergeCell ref="C80:C81"/>
    <mergeCell ref="C97:C98"/>
    <mergeCell ref="C112:C113"/>
    <mergeCell ref="C123:C124"/>
    <mergeCell ref="C135:C136"/>
    <mergeCell ref="B29:B30"/>
    <mergeCell ref="B38:B39"/>
    <mergeCell ref="B49:B50"/>
    <mergeCell ref="B64:B65"/>
    <mergeCell ref="B80:B81"/>
    <mergeCell ref="B97:B98"/>
    <mergeCell ref="B112:B113"/>
    <mergeCell ref="E155:G155"/>
    <mergeCell ref="F158:G158"/>
    <mergeCell ref="A14:A15"/>
    <mergeCell ref="A29:A30"/>
    <mergeCell ref="A38:A39"/>
    <mergeCell ref="A49:A50"/>
    <mergeCell ref="A64:A65"/>
    <mergeCell ref="A80:A81"/>
    <mergeCell ref="A97:A98"/>
    <mergeCell ref="A112:A113"/>
    <mergeCell ref="A123:A124"/>
    <mergeCell ref="A135:A136"/>
    <mergeCell ref="A146:A147"/>
    <mergeCell ref="F95:G95"/>
    <mergeCell ref="E33:G33"/>
    <mergeCell ref="E44:G44"/>
    <mergeCell ref="E59:G59"/>
    <mergeCell ref="F62:G62"/>
    <mergeCell ref="E75:G75"/>
    <mergeCell ref="F78:G78"/>
    <mergeCell ref="E92:G92"/>
    <mergeCell ref="G80:G81"/>
    <mergeCell ref="G64:G65"/>
    <mergeCell ref="F47:G47"/>
    <mergeCell ref="F36:G36"/>
    <mergeCell ref="B11:D11"/>
    <mergeCell ref="E11:H11"/>
    <mergeCell ref="E24:G24"/>
    <mergeCell ref="F27:G27"/>
    <mergeCell ref="B14:B15"/>
    <mergeCell ref="E14:E15"/>
    <mergeCell ref="G14:G15"/>
    <mergeCell ref="C1:G1"/>
    <mergeCell ref="C2:G2"/>
    <mergeCell ref="C3:G3"/>
    <mergeCell ref="A5:G5"/>
    <mergeCell ref="A7:H7"/>
    <mergeCell ref="E9:F9"/>
    <mergeCell ref="G9:H9"/>
    <mergeCell ref="E10:F10"/>
    <mergeCell ref="G10:H10"/>
  </mergeCells>
  <pageMargins left="0.511811024" right="0.511811024" top="0.78740157499999996" bottom="0.78740157499999996" header="0.31496062000000002" footer="0.31496062000000002"/>
  <pageSetup paperSize="9" scale="4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P37"/>
  <sheetViews>
    <sheetView view="pageBreakPreview" topLeftCell="A7" zoomScaleNormal="100" zoomScaleSheetLayoutView="100" workbookViewId="0">
      <selection activeCell="G12" sqref="G12:H12"/>
    </sheetView>
  </sheetViews>
  <sheetFormatPr defaultColWidth="9" defaultRowHeight="12.75"/>
  <cols>
    <col min="2" max="2" width="15.42578125" customWidth="1"/>
    <col min="3" max="3" width="48.28515625" customWidth="1"/>
    <col min="4" max="4" width="9.5703125"/>
  </cols>
  <sheetData>
    <row r="2" spans="2:16" ht="20.25">
      <c r="B2" s="451" t="s">
        <v>506</v>
      </c>
      <c r="C2" s="452"/>
      <c r="D2" s="452"/>
      <c r="E2" s="452"/>
      <c r="F2" s="452"/>
      <c r="G2" s="452"/>
      <c r="H2" s="452"/>
      <c r="I2" s="453"/>
    </row>
    <row r="3" spans="2:16" ht="20.25">
      <c r="B3" s="454"/>
      <c r="C3" s="455"/>
      <c r="D3" s="455"/>
      <c r="E3" s="455"/>
      <c r="F3" s="455"/>
      <c r="G3" s="455"/>
      <c r="H3" s="455"/>
      <c r="I3" s="456"/>
    </row>
    <row r="4" spans="2:16" ht="71.099999999999994" customHeight="1">
      <c r="B4" s="65" t="s">
        <v>390</v>
      </c>
      <c r="C4" s="410" t="s">
        <v>5</v>
      </c>
      <c r="D4" s="411"/>
      <c r="E4" s="411"/>
      <c r="F4" s="411"/>
      <c r="G4" s="411"/>
      <c r="H4" s="411"/>
      <c r="I4" s="412"/>
      <c r="J4" s="310"/>
      <c r="K4" s="310"/>
    </row>
    <row r="5" spans="2:16" ht="15.75">
      <c r="B5" s="66"/>
      <c r="C5" s="457"/>
      <c r="D5" s="457"/>
      <c r="E5" s="457"/>
      <c r="F5" s="457"/>
      <c r="G5" s="457"/>
      <c r="H5" s="457"/>
      <c r="I5" s="458"/>
    </row>
    <row r="6" spans="2:16" ht="15">
      <c r="B6" s="459" t="s">
        <v>504</v>
      </c>
      <c r="C6" s="460"/>
      <c r="D6" s="460"/>
      <c r="E6" s="460"/>
      <c r="F6" s="460"/>
      <c r="G6" s="460"/>
      <c r="H6" s="460"/>
      <c r="I6" s="461"/>
    </row>
    <row r="7" spans="2:16" ht="15">
      <c r="B7" s="67"/>
      <c r="C7" s="68"/>
      <c r="D7" s="68"/>
      <c r="E7" s="68"/>
      <c r="F7" s="68"/>
      <c r="G7" s="69"/>
      <c r="H7" s="69"/>
      <c r="I7" s="104"/>
      <c r="M7" s="462" t="s">
        <v>391</v>
      </c>
      <c r="N7" s="462"/>
      <c r="O7" s="462"/>
      <c r="P7" s="462"/>
    </row>
    <row r="8" spans="2:16" ht="15.75" customHeight="1">
      <c r="B8" s="463" t="s">
        <v>505</v>
      </c>
      <c r="C8" s="460"/>
      <c r="D8" s="461"/>
      <c r="E8" s="68"/>
      <c r="F8" s="493" t="s">
        <v>392</v>
      </c>
      <c r="G8" s="494"/>
      <c r="H8" s="494"/>
      <c r="I8" s="495"/>
      <c r="M8" s="493" t="s">
        <v>392</v>
      </c>
      <c r="N8" s="494"/>
      <c r="O8" s="494"/>
      <c r="P8" s="495"/>
    </row>
    <row r="9" spans="2:16">
      <c r="B9" s="515" t="s">
        <v>10</v>
      </c>
      <c r="C9" s="519" t="s">
        <v>393</v>
      </c>
      <c r="D9" s="523" t="s">
        <v>394</v>
      </c>
      <c r="E9" s="70"/>
      <c r="F9" s="496"/>
      <c r="G9" s="497"/>
      <c r="H9" s="497"/>
      <c r="I9" s="498"/>
      <c r="M9" s="496"/>
      <c r="N9" s="497"/>
      <c r="O9" s="497"/>
      <c r="P9" s="498"/>
    </row>
    <row r="10" spans="2:16">
      <c r="B10" s="516"/>
      <c r="C10" s="520"/>
      <c r="D10" s="524"/>
      <c r="E10" s="70"/>
      <c r="F10" s="71" t="s">
        <v>395</v>
      </c>
      <c r="G10" s="464" t="s">
        <v>396</v>
      </c>
      <c r="H10" s="465"/>
      <c r="I10" s="106" t="s">
        <v>397</v>
      </c>
      <c r="M10" s="71" t="s">
        <v>395</v>
      </c>
      <c r="N10" s="464" t="s">
        <v>396</v>
      </c>
      <c r="O10" s="465"/>
      <c r="P10" s="106" t="s">
        <v>397</v>
      </c>
    </row>
    <row r="11" spans="2:16" ht="14.25">
      <c r="B11" s="466"/>
      <c r="C11" s="467"/>
      <c r="D11" s="467"/>
      <c r="E11" s="72"/>
      <c r="F11" s="72"/>
      <c r="G11" s="69"/>
      <c r="H11" s="69"/>
      <c r="I11" s="104"/>
      <c r="M11" s="72"/>
      <c r="N11" s="69"/>
      <c r="O11" s="69"/>
      <c r="P11" s="104"/>
    </row>
    <row r="12" spans="2:16" ht="14.25">
      <c r="B12" s="73" t="s">
        <v>398</v>
      </c>
      <c r="C12" s="468" t="s">
        <v>399</v>
      </c>
      <c r="D12" s="469"/>
      <c r="E12" s="74"/>
      <c r="F12" s="75"/>
      <c r="G12" s="470"/>
      <c r="H12" s="471"/>
      <c r="I12" s="107"/>
      <c r="M12" s="75"/>
      <c r="N12" s="470"/>
      <c r="O12" s="471"/>
      <c r="P12" s="107"/>
    </row>
    <row r="13" spans="2:16">
      <c r="B13" s="76" t="s">
        <v>400</v>
      </c>
      <c r="C13" s="77" t="s">
        <v>401</v>
      </c>
      <c r="D13" s="311">
        <v>0</v>
      </c>
      <c r="E13" s="79"/>
      <c r="F13" s="80">
        <v>8.0000000000000002E-3</v>
      </c>
      <c r="G13" s="472">
        <v>8.0000000000000002E-3</v>
      </c>
      <c r="H13" s="473"/>
      <c r="I13" s="108">
        <v>0.01</v>
      </c>
      <c r="M13" s="109">
        <v>3.2000000000000002E-3</v>
      </c>
      <c r="N13" s="472">
        <v>4.0000000000000001E-3</v>
      </c>
      <c r="O13" s="473"/>
      <c r="P13" s="108">
        <v>7.4000000000000003E-3</v>
      </c>
    </row>
    <row r="14" spans="2:16">
      <c r="B14" s="76" t="s">
        <v>402</v>
      </c>
      <c r="C14" s="77" t="s">
        <v>403</v>
      </c>
      <c r="D14" s="311">
        <v>0</v>
      </c>
      <c r="E14" s="79"/>
      <c r="F14" s="80">
        <v>9.7000000000000003E-3</v>
      </c>
      <c r="G14" s="472">
        <v>1.2699999999999999E-2</v>
      </c>
      <c r="H14" s="473"/>
      <c r="I14" s="108">
        <v>1.2699999999999999E-2</v>
      </c>
      <c r="M14" s="109">
        <v>5.0000000000000001E-3</v>
      </c>
      <c r="N14" s="472">
        <v>5.5999999999999999E-3</v>
      </c>
      <c r="O14" s="473"/>
      <c r="P14" s="108">
        <v>9.7000000000000003E-3</v>
      </c>
    </row>
    <row r="15" spans="2:16">
      <c r="B15" s="76" t="s">
        <v>404</v>
      </c>
      <c r="C15" s="77" t="s">
        <v>405</v>
      </c>
      <c r="D15" s="78">
        <v>6.0000000000000001E-3</v>
      </c>
      <c r="E15" s="79"/>
      <c r="F15" s="80">
        <v>5.8999999999999999E-3</v>
      </c>
      <c r="G15" s="472">
        <v>1.23E-2</v>
      </c>
      <c r="H15" s="473"/>
      <c r="I15" s="108">
        <v>1.3899999999999999E-2</v>
      </c>
      <c r="M15" s="80">
        <v>1.0200000000000001E-2</v>
      </c>
      <c r="N15" s="472">
        <v>1.11E-2</v>
      </c>
      <c r="O15" s="473"/>
      <c r="P15" s="108">
        <v>1.21E-2</v>
      </c>
    </row>
    <row r="16" spans="2:16">
      <c r="B16" s="76" t="s">
        <v>406</v>
      </c>
      <c r="C16" s="77" t="s">
        <v>407</v>
      </c>
      <c r="D16" s="78">
        <v>3.2000000000000001E-2</v>
      </c>
      <c r="E16" s="79"/>
      <c r="F16" s="80">
        <v>0.03</v>
      </c>
      <c r="G16" s="472">
        <v>0.04</v>
      </c>
      <c r="H16" s="473"/>
      <c r="I16" s="108">
        <v>5.5E-2</v>
      </c>
      <c r="M16" s="80">
        <v>3.7999999999999999E-2</v>
      </c>
      <c r="N16" s="472">
        <v>4.0099999999999997E-2</v>
      </c>
      <c r="O16" s="473"/>
      <c r="P16" s="108">
        <v>4.6699999999999998E-2</v>
      </c>
    </row>
    <row r="17" spans="2:16">
      <c r="B17" s="474" t="s">
        <v>408</v>
      </c>
      <c r="C17" s="475"/>
      <c r="D17" s="81">
        <f>SUM(D13:D16)</f>
        <v>3.7999999999999999E-2</v>
      </c>
      <c r="E17" s="82"/>
      <c r="F17" s="83"/>
      <c r="G17" s="476"/>
      <c r="H17" s="477"/>
      <c r="I17" s="110"/>
      <c r="M17" s="83"/>
      <c r="N17" s="476"/>
      <c r="O17" s="477"/>
      <c r="P17" s="110"/>
    </row>
    <row r="18" spans="2:16">
      <c r="B18" s="478"/>
      <c r="C18" s="479"/>
      <c r="D18" s="479"/>
      <c r="E18" s="84"/>
      <c r="F18" s="79"/>
      <c r="G18" s="79"/>
      <c r="H18" s="79"/>
      <c r="I18" s="111"/>
      <c r="M18" s="79"/>
      <c r="N18" s="79"/>
      <c r="O18" s="79"/>
      <c r="P18" s="111"/>
    </row>
    <row r="19" spans="2:16">
      <c r="B19" s="73" t="s">
        <v>409</v>
      </c>
      <c r="C19" s="468" t="s">
        <v>410</v>
      </c>
      <c r="D19" s="469"/>
      <c r="E19" s="74"/>
      <c r="F19" s="85"/>
      <c r="G19" s="480"/>
      <c r="H19" s="481"/>
      <c r="I19" s="112"/>
      <c r="M19" s="85"/>
      <c r="N19" s="480"/>
      <c r="O19" s="481"/>
      <c r="P19" s="112"/>
    </row>
    <row r="20" spans="2:16">
      <c r="B20" s="76" t="s">
        <v>411</v>
      </c>
      <c r="C20" s="77" t="s">
        <v>412</v>
      </c>
      <c r="D20" s="78">
        <v>6.8000000000000005E-2</v>
      </c>
      <c r="E20" s="79"/>
      <c r="F20" s="80">
        <v>6.1600000000000002E-2</v>
      </c>
      <c r="G20" s="472">
        <v>7.3999999999999996E-2</v>
      </c>
      <c r="H20" s="473"/>
      <c r="I20" s="108">
        <v>8.9599999999999999E-2</v>
      </c>
      <c r="M20" s="80">
        <v>6.6400000000000001E-2</v>
      </c>
      <c r="N20" s="472">
        <v>7.2999999999999995E-2</v>
      </c>
      <c r="O20" s="473"/>
      <c r="P20" s="108">
        <v>8.6900000000000005E-2</v>
      </c>
    </row>
    <row r="21" spans="2:16">
      <c r="B21" s="474" t="s">
        <v>413</v>
      </c>
      <c r="C21" s="475"/>
      <c r="D21" s="81">
        <f>SUM(D20)</f>
        <v>6.8000000000000005E-2</v>
      </c>
      <c r="E21" s="82"/>
      <c r="F21" s="83"/>
      <c r="G21" s="476"/>
      <c r="H21" s="477"/>
      <c r="I21" s="110"/>
      <c r="M21" s="83"/>
      <c r="N21" s="476"/>
      <c r="O21" s="477"/>
      <c r="P21" s="110"/>
    </row>
    <row r="22" spans="2:16">
      <c r="B22" s="478"/>
      <c r="C22" s="479"/>
      <c r="D22" s="479"/>
      <c r="E22" s="84"/>
      <c r="F22" s="79"/>
      <c r="G22" s="79"/>
      <c r="H22" s="79"/>
      <c r="I22" s="111"/>
    </row>
    <row r="23" spans="2:16" ht="12.75" customHeight="1">
      <c r="B23" s="73" t="s">
        <v>414</v>
      </c>
      <c r="C23" s="468" t="s">
        <v>415</v>
      </c>
      <c r="D23" s="469"/>
      <c r="E23" s="74"/>
      <c r="F23" s="482" t="s">
        <v>416</v>
      </c>
      <c r="G23" s="483"/>
      <c r="H23" s="483"/>
      <c r="I23" s="484"/>
    </row>
    <row r="24" spans="2:16" ht="12.75" customHeight="1">
      <c r="B24" s="76" t="s">
        <v>417</v>
      </c>
      <c r="C24" s="77" t="s">
        <v>418</v>
      </c>
      <c r="D24" s="78">
        <v>6.4999999999999997E-3</v>
      </c>
      <c r="E24" s="79"/>
      <c r="F24" s="489" t="s">
        <v>419</v>
      </c>
      <c r="G24" s="499" t="s">
        <v>420</v>
      </c>
      <c r="H24" s="500"/>
      <c r="I24" s="491" t="s">
        <v>421</v>
      </c>
    </row>
    <row r="25" spans="2:16">
      <c r="B25" s="76" t="s">
        <v>422</v>
      </c>
      <c r="C25" s="77" t="s">
        <v>272</v>
      </c>
      <c r="D25" s="78">
        <v>0.03</v>
      </c>
      <c r="E25" s="79"/>
      <c r="F25" s="490"/>
      <c r="G25" s="501"/>
      <c r="H25" s="502"/>
      <c r="I25" s="492"/>
    </row>
    <row r="26" spans="2:16">
      <c r="B26" s="517" t="s">
        <v>423</v>
      </c>
      <c r="C26" s="521" t="s">
        <v>424</v>
      </c>
      <c r="D26" s="525">
        <f>F27</f>
        <v>0.05</v>
      </c>
      <c r="E26" s="79"/>
      <c r="F26" s="88"/>
      <c r="G26" s="79"/>
      <c r="H26" s="79"/>
      <c r="I26" s="111"/>
    </row>
    <row r="27" spans="2:16">
      <c r="B27" s="518"/>
      <c r="C27" s="522"/>
      <c r="D27" s="526"/>
      <c r="E27" s="79"/>
      <c r="F27" s="89">
        <v>0.05</v>
      </c>
      <c r="G27" s="485">
        <v>0.6</v>
      </c>
      <c r="H27" s="486"/>
      <c r="I27" s="113">
        <f>F27*G27</f>
        <v>0.03</v>
      </c>
    </row>
    <row r="28" spans="2:16">
      <c r="B28" s="86" t="s">
        <v>425</v>
      </c>
      <c r="C28" s="90" t="s">
        <v>426</v>
      </c>
      <c r="D28" s="87"/>
      <c r="E28" s="79"/>
      <c r="F28" s="91"/>
      <c r="G28" s="91"/>
      <c r="H28" s="91"/>
      <c r="I28" s="114"/>
    </row>
    <row r="29" spans="2:16">
      <c r="B29" s="474" t="s">
        <v>427</v>
      </c>
      <c r="C29" s="475"/>
      <c r="D29" s="81">
        <f>SUM(D24:D28)</f>
        <v>8.6499999999999994E-2</v>
      </c>
      <c r="E29" s="82"/>
      <c r="F29" s="92"/>
      <c r="G29" s="92"/>
      <c r="H29" s="92"/>
      <c r="I29" s="115"/>
    </row>
    <row r="30" spans="2:16">
      <c r="B30" s="513"/>
      <c r="C30" s="514"/>
      <c r="D30" s="514"/>
      <c r="E30" s="93"/>
      <c r="F30" s="92"/>
      <c r="G30" s="92"/>
      <c r="H30" s="92"/>
      <c r="I30" s="115"/>
    </row>
    <row r="31" spans="2:16">
      <c r="B31" s="94"/>
      <c r="C31" s="74" t="s">
        <v>428</v>
      </c>
      <c r="D31" s="95"/>
      <c r="E31" s="95"/>
      <c r="F31" s="92"/>
      <c r="G31" s="92"/>
      <c r="H31" s="92"/>
      <c r="I31" s="115"/>
    </row>
    <row r="32" spans="2:16">
      <c r="B32" s="96"/>
      <c r="C32" s="93"/>
      <c r="D32" s="93"/>
      <c r="E32" s="93"/>
      <c r="F32" s="92"/>
      <c r="G32" s="92"/>
      <c r="H32" s="92"/>
      <c r="I32" s="115"/>
    </row>
    <row r="33" spans="2:9">
      <c r="B33" s="503" t="s">
        <v>429</v>
      </c>
      <c r="C33" s="504"/>
      <c r="D33" s="505"/>
      <c r="E33" s="97"/>
      <c r="F33" s="92"/>
      <c r="G33" s="92"/>
      <c r="H33" s="92"/>
      <c r="I33" s="115"/>
    </row>
    <row r="34" spans="2:9">
      <c r="B34" s="506"/>
      <c r="C34" s="507"/>
      <c r="D34" s="508"/>
      <c r="E34" s="97"/>
      <c r="F34" s="92"/>
      <c r="G34" s="92"/>
      <c r="H34" s="92"/>
      <c r="I34" s="115"/>
    </row>
    <row r="35" spans="2:9">
      <c r="B35" s="98"/>
      <c r="C35" s="99"/>
      <c r="D35" s="100"/>
      <c r="E35" s="100"/>
      <c r="F35" s="92"/>
      <c r="G35" s="92"/>
      <c r="H35" s="92"/>
      <c r="I35" s="115"/>
    </row>
    <row r="36" spans="2:9" ht="15.75">
      <c r="B36" s="509" t="s">
        <v>430</v>
      </c>
      <c r="C36" s="510"/>
      <c r="D36" s="487">
        <f>(((1+D16+D13+D14)*(1+D15)*(1+D21))/(1-D29))-1</f>
        <v>0.21378112315270936</v>
      </c>
      <c r="E36" s="101"/>
      <c r="F36" s="92"/>
      <c r="G36" s="92"/>
      <c r="H36" s="92"/>
      <c r="I36" s="115"/>
    </row>
    <row r="37" spans="2:9" ht="15.75">
      <c r="B37" s="511"/>
      <c r="C37" s="512"/>
      <c r="D37" s="488"/>
      <c r="E37" s="102"/>
      <c r="F37" s="103"/>
      <c r="G37" s="103"/>
      <c r="H37" s="103"/>
      <c r="I37" s="116"/>
    </row>
  </sheetData>
  <mergeCells count="53">
    <mergeCell ref="D36:D37"/>
    <mergeCell ref="F24:F25"/>
    <mergeCell ref="I24:I25"/>
    <mergeCell ref="M8:P9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  <mergeCell ref="B29:C29"/>
    <mergeCell ref="G20:H20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G14:H14"/>
    <mergeCell ref="N14:O14"/>
    <mergeCell ref="G15:H15"/>
    <mergeCell ref="N15:O15"/>
    <mergeCell ref="G16:H16"/>
    <mergeCell ref="N16:O16"/>
    <mergeCell ref="C12:D12"/>
    <mergeCell ref="G12:H12"/>
    <mergeCell ref="N12:O12"/>
    <mergeCell ref="G13:H13"/>
    <mergeCell ref="N13:O13"/>
    <mergeCell ref="M7:P7"/>
    <mergeCell ref="B8:D8"/>
    <mergeCell ref="G10:H10"/>
    <mergeCell ref="N10:O10"/>
    <mergeCell ref="B11:D11"/>
    <mergeCell ref="B2:I2"/>
    <mergeCell ref="B3:I3"/>
    <mergeCell ref="C4:I4"/>
    <mergeCell ref="C5:I5"/>
    <mergeCell ref="B6:I6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G53"/>
  <sheetViews>
    <sheetView tabSelected="1" view="pageBreakPreview" topLeftCell="A34" zoomScaleNormal="100" zoomScaleSheetLayoutView="100" workbookViewId="0">
      <selection activeCell="G20" sqref="G20"/>
    </sheetView>
  </sheetViews>
  <sheetFormatPr defaultColWidth="9" defaultRowHeight="12.75"/>
  <cols>
    <col min="1" max="1" width="9" style="27"/>
    <col min="2" max="2" width="36.140625" style="27" customWidth="1"/>
    <col min="3" max="3" width="39.85546875" style="27" customWidth="1"/>
    <col min="4" max="4" width="16.7109375" style="27" hidden="1" customWidth="1"/>
    <col min="5" max="5" width="16.85546875" style="27" hidden="1" customWidth="1"/>
    <col min="6" max="6" width="13.140625" style="27" customWidth="1"/>
    <col min="7" max="7" width="16.85546875" style="27" customWidth="1"/>
    <col min="8" max="16384" width="9" style="27"/>
  </cols>
  <sheetData>
    <row r="2" spans="2:7">
      <c r="B2" s="28"/>
      <c r="C2" s="29"/>
      <c r="D2" s="29"/>
      <c r="E2" s="29"/>
      <c r="F2" s="29"/>
      <c r="G2" s="30"/>
    </row>
    <row r="3" spans="2:7">
      <c r="B3" s="31"/>
      <c r="C3" s="32"/>
      <c r="D3" s="32"/>
      <c r="E3" s="32"/>
      <c r="F3" s="32"/>
      <c r="G3" s="33"/>
    </row>
    <row r="4" spans="2:7">
      <c r="B4" s="31"/>
      <c r="C4" s="32"/>
      <c r="D4" s="32"/>
      <c r="E4" s="32"/>
      <c r="F4" s="32"/>
      <c r="G4" s="33"/>
    </row>
    <row r="5" spans="2:7">
      <c r="B5" s="31"/>
      <c r="C5" s="32"/>
      <c r="D5" s="32"/>
      <c r="E5" s="32"/>
      <c r="F5" s="32"/>
      <c r="G5" s="33"/>
    </row>
    <row r="6" spans="2:7">
      <c r="B6" s="31"/>
      <c r="C6" s="32"/>
      <c r="D6" s="32"/>
      <c r="E6" s="32"/>
      <c r="F6" s="32"/>
      <c r="G6" s="33"/>
    </row>
    <row r="7" spans="2:7">
      <c r="B7" s="34" t="s">
        <v>431</v>
      </c>
      <c r="C7" s="35"/>
      <c r="D7" s="36"/>
      <c r="E7" s="36"/>
      <c r="F7" s="36"/>
      <c r="G7" s="37"/>
    </row>
    <row r="8" spans="2:7">
      <c r="B8" s="34" t="s">
        <v>432</v>
      </c>
      <c r="C8" s="35"/>
      <c r="D8" s="36"/>
      <c r="E8" s="36"/>
      <c r="F8" s="36"/>
      <c r="G8" s="37"/>
    </row>
    <row r="9" spans="2:7">
      <c r="B9" s="34" t="s">
        <v>433</v>
      </c>
      <c r="C9" s="35"/>
      <c r="D9" s="36"/>
      <c r="E9" s="36"/>
      <c r="F9" s="36"/>
      <c r="G9" s="37"/>
    </row>
    <row r="10" spans="2:7">
      <c r="B10" s="539"/>
      <c r="C10" s="540"/>
      <c r="D10" s="540"/>
      <c r="E10" s="540"/>
      <c r="F10" s="540"/>
      <c r="G10" s="541"/>
    </row>
    <row r="11" spans="2:7">
      <c r="B11" s="542"/>
      <c r="C11" s="543"/>
      <c r="D11" s="543"/>
      <c r="E11" s="543"/>
      <c r="F11" s="543"/>
      <c r="G11" s="544"/>
    </row>
    <row r="12" spans="2:7" ht="15.75">
      <c r="B12" s="532" t="s">
        <v>507</v>
      </c>
      <c r="C12" s="533"/>
      <c r="D12" s="533"/>
      <c r="E12" s="533"/>
      <c r="F12" s="533"/>
      <c r="G12" s="534"/>
    </row>
    <row r="13" spans="2:7" ht="15.75">
      <c r="B13" s="39" t="s">
        <v>434</v>
      </c>
      <c r="C13" s="38"/>
      <c r="D13" s="535" t="s">
        <v>435</v>
      </c>
      <c r="E13" s="536"/>
      <c r="F13" s="535" t="s">
        <v>436</v>
      </c>
      <c r="G13" s="534"/>
    </row>
    <row r="14" spans="2:7" ht="15">
      <c r="B14" s="527"/>
      <c r="C14" s="528"/>
      <c r="D14" s="528"/>
      <c r="E14" s="528"/>
      <c r="F14" s="528"/>
      <c r="G14" s="529"/>
    </row>
    <row r="15" spans="2:7">
      <c r="B15" s="545"/>
      <c r="C15" s="546"/>
      <c r="D15" s="537" t="s">
        <v>437</v>
      </c>
      <c r="E15" s="537" t="s">
        <v>438</v>
      </c>
      <c r="F15" s="537" t="s">
        <v>437</v>
      </c>
      <c r="G15" s="538" t="s">
        <v>438</v>
      </c>
    </row>
    <row r="16" spans="2:7">
      <c r="B16" s="545"/>
      <c r="C16" s="546"/>
      <c r="D16" s="537"/>
      <c r="E16" s="537"/>
      <c r="F16" s="537"/>
      <c r="G16" s="538"/>
    </row>
    <row r="17" spans="2:7" ht="15.75">
      <c r="B17" s="532" t="s">
        <v>439</v>
      </c>
      <c r="C17" s="533"/>
      <c r="D17" s="533"/>
      <c r="E17" s="533"/>
      <c r="F17" s="533"/>
      <c r="G17" s="534"/>
    </row>
    <row r="18" spans="2:7" ht="15">
      <c r="B18" s="41" t="s">
        <v>400</v>
      </c>
      <c r="C18" s="42" t="s">
        <v>440</v>
      </c>
      <c r="D18" s="43">
        <v>0</v>
      </c>
      <c r="E18" s="43">
        <v>0</v>
      </c>
      <c r="F18" s="43">
        <v>20</v>
      </c>
      <c r="G18" s="44">
        <v>20</v>
      </c>
    </row>
    <row r="19" spans="2:7" ht="15">
      <c r="B19" s="45" t="s">
        <v>402</v>
      </c>
      <c r="C19" s="46" t="s">
        <v>441</v>
      </c>
      <c r="D19" s="47">
        <v>1.5</v>
      </c>
      <c r="E19" s="47">
        <v>1.5</v>
      </c>
      <c r="F19" s="47">
        <v>1.5</v>
      </c>
      <c r="G19" s="48">
        <v>1.5</v>
      </c>
    </row>
    <row r="20" spans="2:7" ht="15">
      <c r="B20" s="45" t="s">
        <v>404</v>
      </c>
      <c r="C20" s="46" t="s">
        <v>442</v>
      </c>
      <c r="D20" s="47">
        <v>1</v>
      </c>
      <c r="E20" s="47">
        <v>1</v>
      </c>
      <c r="F20" s="47">
        <v>1</v>
      </c>
      <c r="G20" s="48">
        <v>1</v>
      </c>
    </row>
    <row r="21" spans="2:7" ht="15">
      <c r="B21" s="45" t="s">
        <v>406</v>
      </c>
      <c r="C21" s="46" t="s">
        <v>443</v>
      </c>
      <c r="D21" s="47">
        <v>0.2</v>
      </c>
      <c r="E21" s="47">
        <v>0.2</v>
      </c>
      <c r="F21" s="47">
        <v>0.2</v>
      </c>
      <c r="G21" s="48">
        <v>0.2</v>
      </c>
    </row>
    <row r="22" spans="2:7" ht="15">
      <c r="B22" s="45" t="s">
        <v>444</v>
      </c>
      <c r="C22" s="46" t="s">
        <v>445</v>
      </c>
      <c r="D22" s="47">
        <v>0.6</v>
      </c>
      <c r="E22" s="47">
        <v>0.6</v>
      </c>
      <c r="F22" s="47">
        <v>0.6</v>
      </c>
      <c r="G22" s="48">
        <v>0.6</v>
      </c>
    </row>
    <row r="23" spans="2:7" ht="15">
      <c r="B23" s="45" t="s">
        <v>446</v>
      </c>
      <c r="C23" s="46" t="s">
        <v>447</v>
      </c>
      <c r="D23" s="47">
        <v>2.5</v>
      </c>
      <c r="E23" s="47">
        <v>2.5</v>
      </c>
      <c r="F23" s="47">
        <v>2.5</v>
      </c>
      <c r="G23" s="48">
        <v>2.5</v>
      </c>
    </row>
    <row r="24" spans="2:7" ht="15">
      <c r="B24" s="45" t="s">
        <v>448</v>
      </c>
      <c r="C24" s="46" t="s">
        <v>449</v>
      </c>
      <c r="D24" s="47">
        <v>3</v>
      </c>
      <c r="E24" s="47">
        <v>3</v>
      </c>
      <c r="F24" s="47">
        <v>3</v>
      </c>
      <c r="G24" s="48">
        <v>3</v>
      </c>
    </row>
    <row r="25" spans="2:7" ht="15">
      <c r="B25" s="45" t="s">
        <v>450</v>
      </c>
      <c r="C25" s="46" t="s">
        <v>451</v>
      </c>
      <c r="D25" s="47">
        <v>8</v>
      </c>
      <c r="E25" s="47">
        <v>8</v>
      </c>
      <c r="F25" s="47">
        <v>8</v>
      </c>
      <c r="G25" s="48">
        <v>8</v>
      </c>
    </row>
    <row r="26" spans="2:7" ht="15">
      <c r="B26" s="49" t="s">
        <v>452</v>
      </c>
      <c r="C26" s="50" t="s">
        <v>453</v>
      </c>
      <c r="D26" s="51">
        <v>0</v>
      </c>
      <c r="E26" s="51">
        <v>0</v>
      </c>
      <c r="F26" s="51">
        <v>0</v>
      </c>
      <c r="G26" s="52">
        <v>0</v>
      </c>
    </row>
    <row r="27" spans="2:7" ht="15.75">
      <c r="B27" s="40" t="s">
        <v>454</v>
      </c>
      <c r="C27" s="53" t="s">
        <v>269</v>
      </c>
      <c r="D27" s="54">
        <f>SUM(D18:D26)</f>
        <v>16.8</v>
      </c>
      <c r="E27" s="54">
        <f>SUM(E18:E26)</f>
        <v>16.8</v>
      </c>
      <c r="F27" s="54">
        <f>SUM(F18:F26)</f>
        <v>36.799999999999997</v>
      </c>
      <c r="G27" s="55">
        <f>SUM(G18:G26)</f>
        <v>36.799999999999997</v>
      </c>
    </row>
    <row r="28" spans="2:7" ht="15.75">
      <c r="B28" s="532" t="s">
        <v>455</v>
      </c>
      <c r="C28" s="533"/>
      <c r="D28" s="533"/>
      <c r="E28" s="533"/>
      <c r="F28" s="533"/>
      <c r="G28" s="534"/>
    </row>
    <row r="29" spans="2:7" ht="15">
      <c r="B29" s="41" t="s">
        <v>456</v>
      </c>
      <c r="C29" s="42" t="s">
        <v>457</v>
      </c>
      <c r="D29" s="43">
        <v>17.97</v>
      </c>
      <c r="E29" s="43" t="s">
        <v>458</v>
      </c>
      <c r="F29" s="43">
        <v>17.97</v>
      </c>
      <c r="G29" s="44" t="s">
        <v>458</v>
      </c>
    </row>
    <row r="30" spans="2:7" ht="15">
      <c r="B30" s="45" t="s">
        <v>459</v>
      </c>
      <c r="C30" s="46" t="s">
        <v>460</v>
      </c>
      <c r="D30" s="47">
        <v>3.96</v>
      </c>
      <c r="E30" s="47" t="s">
        <v>458</v>
      </c>
      <c r="F30" s="47">
        <v>3.96</v>
      </c>
      <c r="G30" s="48" t="s">
        <v>458</v>
      </c>
    </row>
    <row r="31" spans="2:7" ht="15">
      <c r="B31" s="45" t="s">
        <v>461</v>
      </c>
      <c r="C31" s="46" t="s">
        <v>462</v>
      </c>
      <c r="D31" s="47">
        <v>0.86</v>
      </c>
      <c r="E31" s="47">
        <v>0.66</v>
      </c>
      <c r="F31" s="47">
        <v>0.86</v>
      </c>
      <c r="G31" s="48">
        <v>0.66</v>
      </c>
    </row>
    <row r="32" spans="2:7" ht="15">
      <c r="B32" s="45" t="s">
        <v>463</v>
      </c>
      <c r="C32" s="46" t="s">
        <v>464</v>
      </c>
      <c r="D32" s="47">
        <v>10.97</v>
      </c>
      <c r="E32" s="47">
        <v>8.33</v>
      </c>
      <c r="F32" s="47">
        <v>10.97</v>
      </c>
      <c r="G32" s="48">
        <v>8.33</v>
      </c>
    </row>
    <row r="33" spans="2:7" ht="15">
      <c r="B33" s="45" t="s">
        <v>465</v>
      </c>
      <c r="C33" s="46" t="s">
        <v>466</v>
      </c>
      <c r="D33" s="47">
        <v>7.0000000000000007E-2</v>
      </c>
      <c r="E33" s="47">
        <v>0.06</v>
      </c>
      <c r="F33" s="47">
        <v>7.0000000000000007E-2</v>
      </c>
      <c r="G33" s="48">
        <v>0.06</v>
      </c>
    </row>
    <row r="34" spans="2:7" ht="15">
      <c r="B34" s="45" t="s">
        <v>467</v>
      </c>
      <c r="C34" s="46" t="s">
        <v>468</v>
      </c>
      <c r="D34" s="47">
        <v>0.73</v>
      </c>
      <c r="E34" s="47">
        <v>0.56000000000000005</v>
      </c>
      <c r="F34" s="47">
        <v>0.73</v>
      </c>
      <c r="G34" s="48">
        <v>0.56000000000000005</v>
      </c>
    </row>
    <row r="35" spans="2:7" ht="15">
      <c r="B35" s="45" t="s">
        <v>469</v>
      </c>
      <c r="C35" s="46" t="s">
        <v>470</v>
      </c>
      <c r="D35" s="47">
        <v>2.04</v>
      </c>
      <c r="E35" s="47" t="s">
        <v>458</v>
      </c>
      <c r="F35" s="47">
        <v>2.04</v>
      </c>
      <c r="G35" s="48" t="s">
        <v>458</v>
      </c>
    </row>
    <row r="36" spans="2:7" ht="15">
      <c r="B36" s="45" t="s">
        <v>471</v>
      </c>
      <c r="C36" s="46" t="s">
        <v>472</v>
      </c>
      <c r="D36" s="47">
        <v>0.1</v>
      </c>
      <c r="E36" s="47">
        <v>0.08</v>
      </c>
      <c r="F36" s="47">
        <v>0.1</v>
      </c>
      <c r="G36" s="48">
        <v>0.08</v>
      </c>
    </row>
    <row r="37" spans="2:7" ht="15">
      <c r="B37" s="45" t="s">
        <v>473</v>
      </c>
      <c r="C37" s="46" t="s">
        <v>474</v>
      </c>
      <c r="D37" s="47">
        <v>10.34</v>
      </c>
      <c r="E37" s="47">
        <v>7.85</v>
      </c>
      <c r="F37" s="47">
        <v>10.34</v>
      </c>
      <c r="G37" s="48">
        <v>7.85</v>
      </c>
    </row>
    <row r="38" spans="2:7" ht="15">
      <c r="B38" s="49" t="s">
        <v>475</v>
      </c>
      <c r="C38" s="50" t="s">
        <v>476</v>
      </c>
      <c r="D38" s="51">
        <v>0.03</v>
      </c>
      <c r="E38" s="51">
        <v>0.02</v>
      </c>
      <c r="F38" s="51">
        <v>0.03</v>
      </c>
      <c r="G38" s="52">
        <v>0.02</v>
      </c>
    </row>
    <row r="39" spans="2:7" ht="15.75">
      <c r="B39" s="40" t="s">
        <v>477</v>
      </c>
      <c r="C39" s="53" t="s">
        <v>478</v>
      </c>
      <c r="D39" s="54">
        <f>SUM(D29:D38)</f>
        <v>47.069999999999993</v>
      </c>
      <c r="E39" s="54">
        <f>SUM(E29:E38)</f>
        <v>17.559999999999999</v>
      </c>
      <c r="F39" s="54">
        <f>SUM(F29:F38)</f>
        <v>47.069999999999993</v>
      </c>
      <c r="G39" s="55">
        <f>SUM(G29:G38)</f>
        <v>17.559999999999999</v>
      </c>
    </row>
    <row r="40" spans="2:7" ht="15.75">
      <c r="B40" s="532" t="s">
        <v>479</v>
      </c>
      <c r="C40" s="533"/>
      <c r="D40" s="533"/>
      <c r="E40" s="533"/>
      <c r="F40" s="533"/>
      <c r="G40" s="534"/>
    </row>
    <row r="41" spans="2:7" ht="15">
      <c r="B41" s="41" t="s">
        <v>480</v>
      </c>
      <c r="C41" s="42" t="s">
        <v>481</v>
      </c>
      <c r="D41" s="43">
        <v>5.44</v>
      </c>
      <c r="E41" s="43">
        <v>4.13</v>
      </c>
      <c r="F41" s="43">
        <v>5.44</v>
      </c>
      <c r="G41" s="44">
        <v>4.13</v>
      </c>
    </row>
    <row r="42" spans="2:7" ht="15">
      <c r="B42" s="45" t="s">
        <v>482</v>
      </c>
      <c r="C42" s="46" t="s">
        <v>483</v>
      </c>
      <c r="D42" s="47">
        <v>0.13</v>
      </c>
      <c r="E42" s="47">
        <v>0.1</v>
      </c>
      <c r="F42" s="47">
        <v>0.13</v>
      </c>
      <c r="G42" s="48">
        <v>0.1</v>
      </c>
    </row>
    <row r="43" spans="2:7" ht="15">
      <c r="B43" s="45" t="s">
        <v>484</v>
      </c>
      <c r="C43" s="46" t="s">
        <v>485</v>
      </c>
      <c r="D43" s="47">
        <v>3.41</v>
      </c>
      <c r="E43" s="47">
        <v>2.59</v>
      </c>
      <c r="F43" s="47">
        <v>3.41</v>
      </c>
      <c r="G43" s="48">
        <v>2.59</v>
      </c>
    </row>
    <row r="44" spans="2:7" ht="15">
      <c r="B44" s="45" t="s">
        <v>486</v>
      </c>
      <c r="C44" s="46" t="s">
        <v>487</v>
      </c>
      <c r="D44" s="47">
        <v>3.36</v>
      </c>
      <c r="E44" s="47">
        <v>2.5499999999999998</v>
      </c>
      <c r="F44" s="47">
        <v>3.36</v>
      </c>
      <c r="G44" s="48">
        <v>2.5499999999999998</v>
      </c>
    </row>
    <row r="45" spans="2:7" ht="15">
      <c r="B45" s="49" t="s">
        <v>488</v>
      </c>
      <c r="C45" s="50" t="s">
        <v>489</v>
      </c>
      <c r="D45" s="51">
        <v>0.46</v>
      </c>
      <c r="E45" s="51">
        <v>0.35</v>
      </c>
      <c r="F45" s="51">
        <v>0.46</v>
      </c>
      <c r="G45" s="52">
        <v>0.35</v>
      </c>
    </row>
    <row r="46" spans="2:7" ht="15.75">
      <c r="B46" s="40" t="s">
        <v>490</v>
      </c>
      <c r="C46" s="53" t="s">
        <v>478</v>
      </c>
      <c r="D46" s="54">
        <f>SUM(D41:D45)</f>
        <v>12.8</v>
      </c>
      <c r="E46" s="54">
        <f>SUM(E41:E45)</f>
        <v>9.7199999999999989</v>
      </c>
      <c r="F46" s="54">
        <f>SUM(F41:F45)</f>
        <v>12.8</v>
      </c>
      <c r="G46" s="55">
        <f>SUM(G41:G45)</f>
        <v>9.7199999999999989</v>
      </c>
    </row>
    <row r="47" spans="2:7" ht="15.75">
      <c r="B47" s="532" t="s">
        <v>491</v>
      </c>
      <c r="C47" s="533"/>
      <c r="D47" s="533"/>
      <c r="E47" s="533"/>
      <c r="F47" s="533"/>
      <c r="G47" s="534"/>
    </row>
    <row r="48" spans="2:7" ht="15">
      <c r="B48" s="41" t="s">
        <v>492</v>
      </c>
      <c r="C48" s="42" t="s">
        <v>493</v>
      </c>
      <c r="D48" s="43">
        <v>7.91</v>
      </c>
      <c r="E48" s="43">
        <v>2.95</v>
      </c>
      <c r="F48" s="43">
        <v>17.32</v>
      </c>
      <c r="G48" s="44">
        <v>6.46</v>
      </c>
    </row>
    <row r="49" spans="2:7" ht="76.5" customHeight="1">
      <c r="B49" s="56" t="s">
        <v>494</v>
      </c>
      <c r="C49" s="57" t="s">
        <v>495</v>
      </c>
      <c r="D49" s="51">
        <v>0.46</v>
      </c>
      <c r="E49" s="51">
        <v>0.35</v>
      </c>
      <c r="F49" s="51">
        <v>0.48</v>
      </c>
      <c r="G49" s="52">
        <v>0.37</v>
      </c>
    </row>
    <row r="50" spans="2:7" ht="15.75">
      <c r="B50" s="40" t="s">
        <v>496</v>
      </c>
      <c r="C50" s="53" t="s">
        <v>269</v>
      </c>
      <c r="D50" s="54">
        <f>SUM(D48:D49)</f>
        <v>8.370000000000001</v>
      </c>
      <c r="E50" s="54">
        <f>SUM(E48:E49)</f>
        <v>3.3000000000000003</v>
      </c>
      <c r="F50" s="54">
        <f>SUM(F48:F49)</f>
        <v>17.8</v>
      </c>
      <c r="G50" s="55">
        <f>SUM(G48:G49)</f>
        <v>6.83</v>
      </c>
    </row>
    <row r="51" spans="2:7" ht="15">
      <c r="B51" s="527"/>
      <c r="C51" s="528"/>
      <c r="D51" s="528"/>
      <c r="E51" s="528"/>
      <c r="F51" s="528"/>
      <c r="G51" s="529"/>
    </row>
    <row r="52" spans="2:7" ht="15.75">
      <c r="B52" s="530" t="s">
        <v>497</v>
      </c>
      <c r="C52" s="531"/>
      <c r="D52" s="58">
        <f>D27+D39+D46+D50</f>
        <v>85.039999999999992</v>
      </c>
      <c r="E52" s="58">
        <f>E27+E39+E46+E50</f>
        <v>47.379999999999995</v>
      </c>
      <c r="F52" s="59">
        <f>(F27+F39+F46+F50)/100</f>
        <v>1.1446999999999998</v>
      </c>
      <c r="G52" s="60">
        <f>(G27+G39+G46+G50)/100</f>
        <v>0.70909999999999995</v>
      </c>
    </row>
    <row r="53" spans="2:7" ht="15">
      <c r="B53" s="61"/>
      <c r="C53" s="61"/>
      <c r="D53" s="61"/>
      <c r="E53" s="61"/>
      <c r="F53" s="61"/>
      <c r="G53" s="61"/>
    </row>
  </sheetData>
  <mergeCells count="16">
    <mergeCell ref="B10:G11"/>
    <mergeCell ref="B15:C16"/>
    <mergeCell ref="B28:G28"/>
    <mergeCell ref="B40:G40"/>
    <mergeCell ref="B47:G47"/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</mergeCells>
  <pageMargins left="0.75" right="0.75" top="1" bottom="1" header="0.5" footer="0.5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Planilha - ILHÉUS</vt:lpstr>
      <vt:lpstr>Cronograma - ILHÉUS</vt:lpstr>
      <vt:lpstr>MC - Ilhéus</vt:lpstr>
      <vt:lpstr>Mobilização - ILHÉUS</vt:lpstr>
      <vt:lpstr>CPU 01 - SERVIÇOS PRELIMINARES</vt:lpstr>
      <vt:lpstr>CPU 02</vt:lpstr>
      <vt:lpstr>BDI</vt:lpstr>
      <vt:lpstr>ENC SOCIAIS</vt:lpstr>
      <vt:lpstr>BDI!Area_de_impressao</vt:lpstr>
      <vt:lpstr>'CPU 01 - SERVIÇOS PRELIMINARES'!Area_de_impressao</vt:lpstr>
      <vt:lpstr>'CPU 02'!Area_de_impressao</vt:lpstr>
      <vt:lpstr>'Cronograma - ILHÉUS'!Area_de_impressao</vt:lpstr>
      <vt:lpstr>'ENC SOCIAIS'!Area_de_impressao</vt:lpstr>
      <vt:lpstr>'MC - Ilhéus'!Area_de_impressao</vt:lpstr>
      <vt:lpstr>'Planilha - ILHÉUS'!Area_de_impressao</vt:lpstr>
      <vt:lpstr>'Planilha - ILHÉUS'!Titulos_de_impressao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2018-07-17T17:06:00Z</cp:lastPrinted>
  <dcterms:created xsi:type="dcterms:W3CDTF">1998-01-22T12:19:00Z</dcterms:created>
  <dcterms:modified xsi:type="dcterms:W3CDTF">2021-11-24T12:46:16Z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