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.50.61\Armazenamento\2ª_GRD\07-LICITAÇÕES 2021\10-CONSTRUÇÃO DE DIVERSAS PRAÇAS\01-CD LICITAÇÃO\05-DOC_PRAÇA PORTO SEGURO\"/>
    </mc:Choice>
  </mc:AlternateContent>
  <bookViews>
    <workbookView xWindow="0" yWindow="0" windowWidth="24000" windowHeight="9735" tabRatio="876" activeTab="7"/>
  </bookViews>
  <sheets>
    <sheet name="Planilha - PORTO SEGURO" sheetId="93" r:id="rId1"/>
    <sheet name="Cronograma - PORTO SEGURO" sheetId="94" r:id="rId2"/>
    <sheet name="MC - Porto Seguro" sheetId="95" r:id="rId3"/>
    <sheet name="Mobilização - PORTO SEGURO" sheetId="96" r:id="rId4"/>
    <sheet name="CPU 01 - SERVIÇOS PRELIMINARES" sheetId="74" r:id="rId5"/>
    <sheet name="CPU 02" sheetId="70" r:id="rId6"/>
    <sheet name="BDI" sheetId="77" r:id="rId7"/>
    <sheet name="ENC SOCIAIS" sheetId="97" r:id="rId8"/>
  </sheets>
  <definedNames>
    <definedName name="AccessDatabase" hidden="1">"D:\Arquivos do excel\Planilha modelo1.mdb"</definedName>
    <definedName name="af" localSheetId="4">#REF!</definedName>
    <definedName name="af" localSheetId="1">#REF!</definedName>
    <definedName name="af" localSheetId="2">#REF!</definedName>
    <definedName name="af" localSheetId="3">#REF!</definedName>
    <definedName name="af" localSheetId="0">#REF!</definedName>
    <definedName name="af">#REF!</definedName>
    <definedName name="ag" localSheetId="4">#REF!</definedName>
    <definedName name="ag" localSheetId="1">#REF!</definedName>
    <definedName name="ag" localSheetId="2">#REF!</definedName>
    <definedName name="ag" localSheetId="3">#REF!</definedName>
    <definedName name="ag" localSheetId="0">#REF!</definedName>
    <definedName name="ag">#REF!</definedName>
    <definedName name="_xlnm.Print_Area" localSheetId="6">BDI!$B$2:$I$37</definedName>
    <definedName name="_xlnm.Print_Area" localSheetId="4">'CPU 01 - SERVIÇOS PRELIMINARES'!$A$1:$H$54</definedName>
    <definedName name="_xlnm.Print_Area" localSheetId="5">'CPU 02'!$A$1:$H$55</definedName>
    <definedName name="_xlnm.Print_Area" localSheetId="1">'Cronograma - PORTO SEGURO'!$A$1:$G$25</definedName>
    <definedName name="_xlnm.Print_Area" localSheetId="7">'ENC SOCIAIS'!$B$2:$G$52</definedName>
    <definedName name="_xlnm.Print_Area" localSheetId="2">'MC - Porto Seguro'!$A$1:$E$25</definedName>
    <definedName name="_xlnm.Print_Area" localSheetId="0">'Planilha - PORTO SEGURO'!$A$1:$J$39</definedName>
    <definedName name="BALTO" localSheetId="4">#REF!</definedName>
    <definedName name="BALTO" localSheetId="1">#REF!</definedName>
    <definedName name="BALTO" localSheetId="2">#REF!</definedName>
    <definedName name="BALTO" localSheetId="3">#REF!</definedName>
    <definedName name="BALTO" localSheetId="0">#REF!</definedName>
    <definedName name="BALTO">#REF!</definedName>
    <definedName name="cho" localSheetId="4">#REF!</definedName>
    <definedName name="cho" localSheetId="1">#REF!</definedName>
    <definedName name="cho" localSheetId="2">#REF!</definedName>
    <definedName name="cho" localSheetId="3">#REF!</definedName>
    <definedName name="cho" localSheetId="0">#REF!</definedName>
    <definedName name="cho">#REF!</definedName>
    <definedName name="ci" localSheetId="4">#REF!</definedName>
    <definedName name="ci" localSheetId="1">#REF!</definedName>
    <definedName name="ci" localSheetId="2">#REF!</definedName>
    <definedName name="ci" localSheetId="3">#REF!</definedName>
    <definedName name="ci" localSheetId="0">#REF!</definedName>
    <definedName name="ci">#REF!</definedName>
    <definedName name="COD_ATRIUM" localSheetId="4">#REF!</definedName>
    <definedName name="COD_ATRIUM" localSheetId="1">#REF!</definedName>
    <definedName name="COD_ATRIUM" localSheetId="2">#REF!</definedName>
    <definedName name="COD_ATRIUM" localSheetId="3">#REF!</definedName>
    <definedName name="COD_ATRIUM" localSheetId="0">#REF!</definedName>
    <definedName name="COD_ATRIUM">#REF!</definedName>
    <definedName name="COD_SINAPI" localSheetId="4">#REF!</definedName>
    <definedName name="COD_SINAPI" localSheetId="1">#REF!</definedName>
    <definedName name="COD_SINAPI" localSheetId="2">#REF!</definedName>
    <definedName name="COD_SINAPI" localSheetId="3">#REF!</definedName>
    <definedName name="COD_SINAPI" localSheetId="0">#REF!</definedName>
    <definedName name="COD_SINAPI">#REF!</definedName>
    <definedName name="jazida5" localSheetId="4">#REF!</definedName>
    <definedName name="jazida5" localSheetId="1">#REF!</definedName>
    <definedName name="jazida5" localSheetId="2">#REF!</definedName>
    <definedName name="jazida5" localSheetId="3">#REF!</definedName>
    <definedName name="jazida5" localSheetId="0">#REF!</definedName>
    <definedName name="jazida5">#REF!</definedName>
    <definedName name="jazida6" localSheetId="4">#REF!</definedName>
    <definedName name="jazida6" localSheetId="1">#REF!</definedName>
    <definedName name="jazida6" localSheetId="2">#REF!</definedName>
    <definedName name="jazida6" localSheetId="3">#REF!</definedName>
    <definedName name="jazida6" localSheetId="0">#REF!</definedName>
    <definedName name="jazida6">#REF!</definedName>
    <definedName name="ls" localSheetId="4">#REF!</definedName>
    <definedName name="ls" localSheetId="1">#REF!</definedName>
    <definedName name="ls" localSheetId="2">#REF!</definedName>
    <definedName name="ls" localSheetId="3">#REF!</definedName>
    <definedName name="ls" localSheetId="0">#REF!</definedName>
    <definedName name="ls">#REF!</definedName>
    <definedName name="lub" localSheetId="4">#REF!</definedName>
    <definedName name="lub" localSheetId="1">#REF!</definedName>
    <definedName name="lub" localSheetId="2">#REF!</definedName>
    <definedName name="lub" localSheetId="3">#REF!</definedName>
    <definedName name="lub" localSheetId="0">#REF!</definedName>
    <definedName name="lub">#REF!</definedName>
    <definedName name="meio" localSheetId="4">#REF!</definedName>
    <definedName name="meio" localSheetId="1">#REF!</definedName>
    <definedName name="meio" localSheetId="2">#REF!</definedName>
    <definedName name="meio" localSheetId="3">#REF!</definedName>
    <definedName name="meio" localSheetId="0">#REF!</definedName>
    <definedName name="meio">#REF!</definedName>
    <definedName name="od" localSheetId="4">#REF!</definedName>
    <definedName name="od" localSheetId="1">#REF!</definedName>
    <definedName name="od" localSheetId="2">#REF!</definedName>
    <definedName name="od" localSheetId="3">#REF!</definedName>
    <definedName name="od" localSheetId="0">#REF!</definedName>
    <definedName name="od">#REF!</definedName>
    <definedName name="of" localSheetId="4">#REF!</definedName>
    <definedName name="of" localSheetId="1">#REF!</definedName>
    <definedName name="of" localSheetId="2">#REF!</definedName>
    <definedName name="of" localSheetId="3">#REF!</definedName>
    <definedName name="of" localSheetId="0">#REF!</definedName>
    <definedName name="of">#REF!</definedName>
    <definedName name="pdm" localSheetId="4">#REF!</definedName>
    <definedName name="pdm" localSheetId="1">#REF!</definedName>
    <definedName name="pdm" localSheetId="2">#REF!</definedName>
    <definedName name="pdm" localSheetId="3">#REF!</definedName>
    <definedName name="pdm" localSheetId="0">#REF!</definedName>
    <definedName name="pdm">#REF!</definedName>
    <definedName name="pedra" localSheetId="4">#REF!</definedName>
    <definedName name="pedra" localSheetId="1">#REF!</definedName>
    <definedName name="pedra" localSheetId="2">#REF!</definedName>
    <definedName name="pedra" localSheetId="3">#REF!</definedName>
    <definedName name="pedra" localSheetId="0">#REF!</definedName>
    <definedName name="pedra">#REF!</definedName>
    <definedName name="port" localSheetId="4">#REF!</definedName>
    <definedName name="port" localSheetId="1">#REF!</definedName>
    <definedName name="port" localSheetId="2">#REF!</definedName>
    <definedName name="port" localSheetId="3">#REF!</definedName>
    <definedName name="port" localSheetId="0">#REF!</definedName>
    <definedName name="port">#REF!</definedName>
    <definedName name="PREF" localSheetId="4">#REF!</definedName>
    <definedName name="PREF" localSheetId="1">#REF!</definedName>
    <definedName name="PREF" localSheetId="2">#REF!</definedName>
    <definedName name="PREF" localSheetId="3">#REF!</definedName>
    <definedName name="PREF" localSheetId="0">#REF!</definedName>
    <definedName name="PREF">#REF!</definedName>
    <definedName name="ruas" localSheetId="4">#REF!</definedName>
    <definedName name="ruas" localSheetId="1">#REF!</definedName>
    <definedName name="ruas" localSheetId="2">#REF!</definedName>
    <definedName name="ruas" localSheetId="3">#REF!</definedName>
    <definedName name="ruas" localSheetId="0">#REF!</definedName>
    <definedName name="ruas">#REF!</definedName>
    <definedName name="s" localSheetId="4">#REF!</definedName>
    <definedName name="s" localSheetId="1">#REF!</definedName>
    <definedName name="s" localSheetId="2">#REF!</definedName>
    <definedName name="s" localSheetId="3">#REF!</definedName>
    <definedName name="s" localSheetId="0">#REF!</definedName>
    <definedName name="s">#REF!</definedName>
    <definedName name="se" localSheetId="4">#REF!</definedName>
    <definedName name="se" localSheetId="1">#REF!</definedName>
    <definedName name="se" localSheetId="2">#REF!</definedName>
    <definedName name="se" localSheetId="3">#REF!</definedName>
    <definedName name="se" localSheetId="0">#REF!</definedName>
    <definedName name="se">#REF!</definedName>
    <definedName name="sx" localSheetId="4">#REF!</definedName>
    <definedName name="sx" localSheetId="1">#REF!</definedName>
    <definedName name="sx" localSheetId="2">#REF!</definedName>
    <definedName name="sx" localSheetId="3">#REF!</definedName>
    <definedName name="sx" localSheetId="0">#REF!</definedName>
    <definedName name="sx">#REF!</definedName>
    <definedName name="tb100cm" localSheetId="4">#REF!</definedName>
    <definedName name="tb100cm" localSheetId="1">#REF!</definedName>
    <definedName name="tb100cm" localSheetId="2">#REF!</definedName>
    <definedName name="tb100cm" localSheetId="3">#REF!</definedName>
    <definedName name="tb100cm" localSheetId="0">#REF!</definedName>
    <definedName name="tb100cm">#REF!</definedName>
    <definedName name="_xlnm.Print_Titles" localSheetId="0">'Planilha - PORTO SEGURO'!$4:$10</definedName>
    <definedName name="total" localSheetId="4">#REF!</definedName>
    <definedName name="total" localSheetId="1">#REF!</definedName>
    <definedName name="total" localSheetId="2">#REF!</definedName>
    <definedName name="total" localSheetId="3">#REF!</definedName>
    <definedName name="total" localSheetId="0">#REF!</definedName>
    <definedName name="total">#REF!</definedName>
  </definedNames>
  <calcPr calcId="152511" iterateDelta="1E-4"/>
</workbook>
</file>

<file path=xl/calcChain.xml><?xml version="1.0" encoding="utf-8"?>
<calcChain xmlns="http://schemas.openxmlformats.org/spreadsheetml/2006/main">
  <c r="A7" i="70" l="1"/>
  <c r="H53" i="70"/>
  <c r="H39" i="70"/>
  <c r="H24" i="70"/>
  <c r="A7" i="74"/>
  <c r="A5" i="96"/>
  <c r="A5" i="95"/>
  <c r="A5" i="94"/>
  <c r="G10" i="70" l="1"/>
  <c r="G52" i="97" l="1"/>
  <c r="F52" i="97"/>
  <c r="E52" i="97"/>
  <c r="D52" i="97"/>
  <c r="G50" i="97"/>
  <c r="F50" i="97"/>
  <c r="E50" i="97"/>
  <c r="D50" i="97"/>
  <c r="G46" i="97"/>
  <c r="F46" i="97"/>
  <c r="E46" i="97"/>
  <c r="D46" i="97"/>
  <c r="G39" i="97"/>
  <c r="F39" i="97"/>
  <c r="E39" i="97"/>
  <c r="D39" i="97"/>
  <c r="G27" i="97"/>
  <c r="F27" i="97"/>
  <c r="E27" i="97"/>
  <c r="D27" i="97"/>
  <c r="D36" i="77"/>
  <c r="D29" i="77"/>
  <c r="I27" i="77"/>
  <c r="D26" i="77"/>
  <c r="D21" i="77"/>
  <c r="D17" i="77"/>
  <c r="E55" i="70"/>
  <c r="H51" i="70"/>
  <c r="H50" i="70"/>
  <c r="H49" i="70"/>
  <c r="H52" i="70" s="1"/>
  <c r="H48" i="70"/>
  <c r="H47" i="70"/>
  <c r="H46" i="70"/>
  <c r="H45" i="70"/>
  <c r="E41" i="70"/>
  <c r="H37" i="70"/>
  <c r="H36" i="70"/>
  <c r="H35" i="70"/>
  <c r="H34" i="70"/>
  <c r="H33" i="70"/>
  <c r="H32" i="70"/>
  <c r="H31" i="70"/>
  <c r="H30" i="70"/>
  <c r="H38" i="70" s="1"/>
  <c r="E26" i="70"/>
  <c r="H23" i="70"/>
  <c r="H22" i="70"/>
  <c r="H21" i="70"/>
  <c r="H20" i="70"/>
  <c r="H19" i="70"/>
  <c r="H18" i="70"/>
  <c r="H17" i="70"/>
  <c r="H16" i="70"/>
  <c r="H15" i="70"/>
  <c r="G9" i="70"/>
  <c r="G39" i="70" s="1"/>
  <c r="H51" i="74"/>
  <c r="H50" i="74"/>
  <c r="H49" i="74"/>
  <c r="H48" i="74"/>
  <c r="H47" i="74"/>
  <c r="H46" i="74"/>
  <c r="H40" i="74"/>
  <c r="H39" i="74"/>
  <c r="H38" i="74"/>
  <c r="H37" i="74"/>
  <c r="H36" i="74"/>
  <c r="H35" i="74"/>
  <c r="H34" i="74"/>
  <c r="H33" i="74"/>
  <c r="H32" i="74"/>
  <c r="H31" i="74"/>
  <c r="H26" i="74"/>
  <c r="F26" i="74"/>
  <c r="H25" i="74"/>
  <c r="H24" i="74"/>
  <c r="H15" i="74"/>
  <c r="H14" i="74"/>
  <c r="H16" i="74" s="1"/>
  <c r="H10" i="74"/>
  <c r="H9" i="74"/>
  <c r="F26" i="96"/>
  <c r="A26" i="96"/>
  <c r="H23" i="96"/>
  <c r="C16" i="96"/>
  <c r="C24" i="95"/>
  <c r="B24" i="95"/>
  <c r="A24" i="95"/>
  <c r="B23" i="95"/>
  <c r="A23" i="95"/>
  <c r="C21" i="95"/>
  <c r="B21" i="95"/>
  <c r="A21" i="95"/>
  <c r="B20" i="95"/>
  <c r="A20" i="95"/>
  <c r="C18" i="95"/>
  <c r="B18" i="95"/>
  <c r="A18" i="95"/>
  <c r="C17" i="95"/>
  <c r="B17" i="95"/>
  <c r="A17" i="95"/>
  <c r="C16" i="95"/>
  <c r="B16" i="95"/>
  <c r="A16" i="95"/>
  <c r="C15" i="95"/>
  <c r="B15" i="95"/>
  <c r="A15" i="95"/>
  <c r="C14" i="95"/>
  <c r="B14" i="95"/>
  <c r="A14" i="95"/>
  <c r="C13" i="95"/>
  <c r="B13" i="95"/>
  <c r="A13" i="95"/>
  <c r="B12" i="95"/>
  <c r="A12" i="95"/>
  <c r="C10" i="95"/>
  <c r="B10" i="95"/>
  <c r="A10" i="95"/>
  <c r="C9" i="95"/>
  <c r="B9" i="95"/>
  <c r="A9" i="95"/>
  <c r="H8" i="95"/>
  <c r="B8" i="95"/>
  <c r="A8" i="95"/>
  <c r="H6" i="95"/>
  <c r="H5" i="95"/>
  <c r="B19" i="94"/>
  <c r="A19" i="94"/>
  <c r="B17" i="94"/>
  <c r="A17" i="94"/>
  <c r="B15" i="94"/>
  <c r="A15" i="94"/>
  <c r="B13" i="94"/>
  <c r="A13" i="94"/>
  <c r="B11" i="94"/>
  <c r="A11" i="94"/>
  <c r="F36" i="93"/>
  <c r="H33" i="93"/>
  <c r="I33" i="93" s="1"/>
  <c r="F33" i="93"/>
  <c r="F30" i="93"/>
  <c r="F29" i="93"/>
  <c r="F28" i="93"/>
  <c r="F27" i="93"/>
  <c r="H26" i="93"/>
  <c r="I26" i="93" s="1"/>
  <c r="J26" i="93" s="1"/>
  <c r="F26" i="93"/>
  <c r="F25" i="93"/>
  <c r="F22" i="93"/>
  <c r="F21" i="93"/>
  <c r="F17" i="93"/>
  <c r="G7" i="93"/>
  <c r="D7" i="93"/>
  <c r="H21" i="93" s="1"/>
  <c r="I21" i="93" s="1"/>
  <c r="H25" i="70" l="1"/>
  <c r="H26" i="70" s="1"/>
  <c r="H40" i="70"/>
  <c r="H41" i="70" s="1"/>
  <c r="G29" i="93"/>
  <c r="H29" i="93" s="1"/>
  <c r="I29" i="93" s="1"/>
  <c r="J29" i="93" s="1"/>
  <c r="H54" i="70"/>
  <c r="H55" i="70" s="1"/>
  <c r="G22" i="93"/>
  <c r="H22" i="93" s="1"/>
  <c r="G30" i="93"/>
  <c r="G24" i="70"/>
  <c r="G53" i="70"/>
  <c r="I22" i="93"/>
  <c r="J22" i="93" s="1"/>
  <c r="H27" i="74"/>
  <c r="H52" i="74"/>
  <c r="H41" i="74"/>
  <c r="G15" i="93"/>
  <c r="E17" i="74"/>
  <c r="H17" i="74" s="1"/>
  <c r="H18" i="74" s="1"/>
  <c r="H19" i="74" s="1"/>
  <c r="H20" i="74" s="1"/>
  <c r="H12" i="93" s="1"/>
  <c r="E28" i="74"/>
  <c r="E53" i="74"/>
  <c r="E42" i="74"/>
  <c r="I27" i="93"/>
  <c r="J27" i="93" s="1"/>
  <c r="I34" i="93"/>
  <c r="J33" i="93"/>
  <c r="J34" i="93" s="1"/>
  <c r="C17" i="94" s="1"/>
  <c r="J21" i="93"/>
  <c r="I23" i="93"/>
  <c r="I36" i="93"/>
  <c r="H13" i="93"/>
  <c r="I13" i="93" s="1"/>
  <c r="J13" i="93" s="1"/>
  <c r="H30" i="93"/>
  <c r="I30" i="93" s="1"/>
  <c r="J30" i="93" s="1"/>
  <c r="H27" i="93"/>
  <c r="H36" i="93"/>
  <c r="H14" i="93"/>
  <c r="I14" i="93" s="1"/>
  <c r="J14" i="93" s="1"/>
  <c r="H25" i="93"/>
  <c r="I25" i="93" s="1"/>
  <c r="H28" i="93"/>
  <c r="I28" i="93" s="1"/>
  <c r="J28" i="93" s="1"/>
  <c r="J23" i="93" l="1"/>
  <c r="C13" i="94" s="1"/>
  <c r="F14" i="94" s="1"/>
  <c r="H42" i="74"/>
  <c r="H43" i="74" s="1"/>
  <c r="H17" i="93" s="1"/>
  <c r="G17" i="93" s="1"/>
  <c r="H53" i="74"/>
  <c r="H54" i="74" s="1"/>
  <c r="H18" i="93" s="1"/>
  <c r="I18" i="93" s="1"/>
  <c r="L18" i="93" s="1"/>
  <c r="H28" i="74"/>
  <c r="H29" i="74" s="1"/>
  <c r="I17" i="93"/>
  <c r="H15" i="93"/>
  <c r="I15" i="93" s="1"/>
  <c r="G16" i="93"/>
  <c r="H16" i="93" s="1"/>
  <c r="I16" i="93" s="1"/>
  <c r="I37" i="93"/>
  <c r="J36" i="93"/>
  <c r="J37" i="93" s="1"/>
  <c r="C19" i="94" s="1"/>
  <c r="F18" i="94"/>
  <c r="E18" i="94"/>
  <c r="D18" i="94"/>
  <c r="G17" i="94"/>
  <c r="J25" i="93"/>
  <c r="J31" i="93" s="1"/>
  <c r="C15" i="94" s="1"/>
  <c r="I31" i="93"/>
  <c r="G14" i="94"/>
  <c r="I12" i="93"/>
  <c r="G12" i="93"/>
  <c r="D13" i="94" l="1"/>
  <c r="E14" i="94"/>
  <c r="G18" i="93"/>
  <c r="J18" i="93"/>
  <c r="L16" i="93"/>
  <c r="J16" i="93"/>
  <c r="J15" i="93"/>
  <c r="L15" i="93"/>
  <c r="L17" i="93"/>
  <c r="J17" i="93"/>
  <c r="D19" i="94"/>
  <c r="G19" i="94"/>
  <c r="G20" i="94" s="1"/>
  <c r="D14" i="94"/>
  <c r="H13" i="94"/>
  <c r="F15" i="94"/>
  <c r="F16" i="94" s="1"/>
  <c r="D15" i="94"/>
  <c r="E15" i="94"/>
  <c r="E16" i="94" s="1"/>
  <c r="G18" i="94"/>
  <c r="H17" i="94"/>
  <c r="J12" i="93"/>
  <c r="I19" i="93"/>
  <c r="I39" i="93" s="1"/>
  <c r="K9" i="93"/>
  <c r="N12" i="93"/>
  <c r="N19" i="93" s="1"/>
  <c r="M12" i="93"/>
  <c r="M19" i="93" s="1"/>
  <c r="L12" i="93"/>
  <c r="L19" i="93" l="1"/>
  <c r="L24" i="93" s="1"/>
  <c r="D20" i="94"/>
  <c r="E19" i="94"/>
  <c r="D16" i="94"/>
  <c r="G15" i="94"/>
  <c r="G16" i="94" s="1"/>
  <c r="E11" i="94"/>
  <c r="D11" i="94"/>
  <c r="J19" i="93"/>
  <c r="K12" i="93"/>
  <c r="M24" i="93"/>
  <c r="N24" i="93"/>
  <c r="K10" i="93"/>
  <c r="H15" i="94" l="1"/>
  <c r="E20" i="94"/>
  <c r="F19" i="94"/>
  <c r="F20" i="94" s="1"/>
  <c r="H19" i="94"/>
  <c r="F11" i="94"/>
  <c r="E21" i="94"/>
  <c r="C11" i="94"/>
  <c r="E12" i="94" s="1"/>
  <c r="J39" i="93"/>
  <c r="J20" i="74" s="1"/>
  <c r="D12" i="94"/>
  <c r="D21" i="94"/>
  <c r="D24" i="94" l="1"/>
  <c r="E24" i="94" s="1"/>
  <c r="C21" i="94"/>
  <c r="E23" i="94" s="1"/>
  <c r="G11" i="94"/>
  <c r="F12" i="94"/>
  <c r="F21" i="94"/>
  <c r="F24" i="94" l="1"/>
  <c r="D23" i="94"/>
  <c r="F23" i="94"/>
  <c r="D25" i="94"/>
  <c r="E25" i="94" s="1"/>
  <c r="F25" i="94" s="1"/>
  <c r="G12" i="94"/>
  <c r="G21" i="94"/>
  <c r="H11" i="94"/>
  <c r="G23" i="94" l="1"/>
  <c r="H23" i="94" s="1"/>
  <c r="H21" i="94"/>
  <c r="G24" i="94"/>
  <c r="G25" i="94" l="1"/>
</calcChain>
</file>

<file path=xl/sharedStrings.xml><?xml version="1.0" encoding="utf-8"?>
<sst xmlns="http://schemas.openxmlformats.org/spreadsheetml/2006/main" count="595" uniqueCount="331">
  <si>
    <t xml:space="preserve">        MINISTÉRIO DO DESENVOLVIMENTO REGIONAL</t>
  </si>
  <si>
    <t>% DE RESERVA DE CONTINGÊNCIA (TAXA DE RISCO DA MATRIZ)</t>
  </si>
  <si>
    <t xml:space="preserve">        COMPANHIA DE DESENVOLVIMENTO DOS VALES DO SÃO FRANCISCO E DO PARNAÍBA</t>
  </si>
  <si>
    <t xml:space="preserve">        2.ª GRD da 2ª SUPERINTENDÊNCIA REGIONAL- Bom Jesus da Lapa/Ba.</t>
  </si>
  <si>
    <t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t>
  </si>
  <si>
    <t xml:space="preserve">BDI SERVIÇOS:                                               </t>
  </si>
  <si>
    <t xml:space="preserve">ENCARGOS SOCIAIS: </t>
  </si>
  <si>
    <t>BASE:</t>
  </si>
  <si>
    <t>SINAPI: OUTUBRO/2021; ORSE: SETEMBRO/2021; SICRO: JULHO/2021</t>
  </si>
  <si>
    <t>ITEM</t>
  </si>
  <si>
    <t>REFERÊNCIA</t>
  </si>
  <si>
    <t>CÓDIGO</t>
  </si>
  <si>
    <t>DISCRIMINAÇÃO DOS SERVIÇOS</t>
  </si>
  <si>
    <t>UND</t>
  </si>
  <si>
    <t>QUANTITATIVO</t>
  </si>
  <si>
    <t>PREÇO UNITÁRIO (SEM BDI) (R$)</t>
  </si>
  <si>
    <t>PREÇO UNITÁRIO (COM BDI) (R$)</t>
  </si>
  <si>
    <t>TOTAL</t>
  </si>
  <si>
    <t>TOTAL C/ BDI E COM TAXA RISCO DA MATRIZ (R$)</t>
  </si>
  <si>
    <t>SERVIÇOS PRELIMINARES</t>
  </si>
  <si>
    <t>1.1</t>
  </si>
  <si>
    <t>CODEVASF</t>
  </si>
  <si>
    <t>Administração local e Manutenção do Canteiro.</t>
  </si>
  <si>
    <t>global</t>
  </si>
  <si>
    <t>1.2</t>
  </si>
  <si>
    <t>SINAPI</t>
  </si>
  <si>
    <t>Locação de container - escritório com banheiro</t>
  </si>
  <si>
    <t>mês</t>
  </si>
  <si>
    <t>1.3</t>
  </si>
  <si>
    <t>ORSE</t>
  </si>
  <si>
    <t>Aluguel de container - almoxarifado sem banheiro - 6,00 x 2,40m</t>
  </si>
  <si>
    <t>1.4</t>
  </si>
  <si>
    <t>Mobilização</t>
  </si>
  <si>
    <t>und</t>
  </si>
  <si>
    <t>1.5</t>
  </si>
  <si>
    <t>Desmobilização</t>
  </si>
  <si>
    <t>1.6</t>
  </si>
  <si>
    <t>CPU-03</t>
  </si>
  <si>
    <t>Placa de obra em chapa de aço galvanizada (3,60 X 1,80m).</t>
  </si>
  <si>
    <t>m²</t>
  </si>
  <si>
    <t>1.7</t>
  </si>
  <si>
    <t>CPU-04</t>
  </si>
  <si>
    <t>Serviços topográficos</t>
  </si>
  <si>
    <t>TOTAL DO ITEM 1</t>
  </si>
  <si>
    <t>2.1</t>
  </si>
  <si>
    <t>Limpeza mecanizada de camada vegetal, vegetação e pequenas árvores (diâmetro de tronco menor que 0,20 m), com trator de esteiras.af_05/2018</t>
  </si>
  <si>
    <t>M2</t>
  </si>
  <si>
    <t>2.2</t>
  </si>
  <si>
    <t>CPU-23</t>
  </si>
  <si>
    <t>regularização e compactação de subleito de solo predominantemente argiloso</t>
  </si>
  <si>
    <t>TOTAL DO ITEM 2</t>
  </si>
  <si>
    <t>3.1</t>
  </si>
  <si>
    <t>m³</t>
  </si>
  <si>
    <t>m</t>
  </si>
  <si>
    <t>Reaterro manual apiloado com soquete</t>
  </si>
  <si>
    <t>SICRO</t>
  </si>
  <si>
    <t>3.2</t>
  </si>
  <si>
    <t>escavação manual de vala com profundidade menor ou igual a 1,30 m c 02/2021</t>
  </si>
  <si>
    <t>TOTAL DO ITEM 3</t>
  </si>
  <si>
    <t>4.1</t>
  </si>
  <si>
    <t>TOTAL DO ITEM 4</t>
  </si>
  <si>
    <t>5.1</t>
  </si>
  <si>
    <t>TOTAL DO ITEM 5</t>
  </si>
  <si>
    <t>DIVERSOS</t>
  </si>
  <si>
    <t>Limpeza de ruas (varrição e remoção de entulhos)</t>
  </si>
  <si>
    <t>TOTAL GERAL (R$)</t>
  </si>
  <si>
    <t>TERRAPLENAGEM</t>
  </si>
  <si>
    <t>Assentamento de guia (meio-fio) em trecho curvo, confeccionada em concreto pré-fabricado, dimensões 80x08x08x25 cm (comprimento x base inferior x base superior x altura), para urbanização.</t>
  </si>
  <si>
    <t>M3</t>
  </si>
  <si>
    <t>M²</t>
  </si>
  <si>
    <t>CPU-01-E</t>
  </si>
  <si>
    <t>CPU-02-E</t>
  </si>
  <si>
    <t xml:space="preserve"> PAVIMENTAÇÃO EM PISO INTERTRAVADO E GUIAS</t>
  </si>
  <si>
    <t>Demolição de lajes, de forma mecanizada com martelete, sem reaproveitamento</t>
  </si>
  <si>
    <t>3.3</t>
  </si>
  <si>
    <t>3.4</t>
  </si>
  <si>
    <t>3.5</t>
  </si>
  <si>
    <t>CPU-22</t>
  </si>
  <si>
    <t>Execução de passeio em piso intertravado, com bloco retangular colorido (vermelho) de 20 x 10  cm, espessura de 8 cm.</t>
  </si>
  <si>
    <t>3.6</t>
  </si>
  <si>
    <t>CPU-21</t>
  </si>
  <si>
    <t>Execução de passeio em piso intertravado, com bloco retangular cor natural de 20 x 10  cm, espessura de 8 cm.</t>
  </si>
  <si>
    <t>LIMPEZA DE RUAS</t>
  </si>
  <si>
    <t>Conjunto com 03 lixeiras em fibra de vidro, com capacidade de 20 L cada, com tampa vai e vem</t>
  </si>
  <si>
    <t>,</t>
  </si>
  <si>
    <t>valor a chegar R$ 1.000.000,00</t>
  </si>
  <si>
    <t xml:space="preserve">ITEM </t>
  </si>
  <si>
    <t>DISCRIMINAÇÃO</t>
  </si>
  <si>
    <t>VALOR (R$)</t>
  </si>
  <si>
    <t>1º  Mês</t>
  </si>
  <si>
    <t>2º  Mês</t>
  </si>
  <si>
    <t>3º  Mês</t>
  </si>
  <si>
    <t>TOTAIS</t>
  </si>
  <si>
    <t>% DO ITEM</t>
  </si>
  <si>
    <t>TOTAL ACUMULADO</t>
  </si>
  <si>
    <t>% ACUMULADA</t>
  </si>
  <si>
    <t>MINISTÉRIO DO DESENVOLVIMENTO REGIONAL</t>
  </si>
  <si>
    <t xml:space="preserve">                            COMPANHIA DE DESENVOLVIMENTO DOS VALES DO SÃO FRANCISCO E DO PARNAÍBA</t>
  </si>
  <si>
    <t>2.ª GRD da 2ª SUPERINTENDÊNCIA REGIONAL- Bom Jesus da Lapa/Ba.</t>
  </si>
  <si>
    <t>4º  Mês</t>
  </si>
  <si>
    <t>3</t>
  </si>
  <si>
    <t>4</t>
  </si>
  <si>
    <t>5</t>
  </si>
  <si>
    <t>6</t>
  </si>
  <si>
    <t xml:space="preserve">                          COMPANHIA DE DESENVOLVIMENTO DOS VALES DO SÃO FRANCISCO E DO PARNAÍBA</t>
  </si>
  <si>
    <t>vol. De bota-fora</t>
  </si>
  <si>
    <t>esp. Base</t>
  </si>
  <si>
    <t>base</t>
  </si>
  <si>
    <t>esp. De bota-fora</t>
  </si>
  <si>
    <t>conforme projeto</t>
  </si>
  <si>
    <t>(*) - Valores calculados diretamente no projeto.</t>
  </si>
  <si>
    <t xml:space="preserve"> 8363,64 (conforme projeto) </t>
  </si>
  <si>
    <t xml:space="preserve"> 8.363,64 (área total) x 0,05 (espessura do piso em m) </t>
  </si>
  <si>
    <t xml:space="preserve"> 1929,6 (metros lineares de meio fio) x 0,15 (largura da vala) x 0,15 (altura da vala) </t>
  </si>
  <si>
    <t xml:space="preserve"> 1929,6 (conforme projeto) </t>
  </si>
  <si>
    <t xml:space="preserve"> 43,40 (escavação m³) - (1929 x 0,8 (largura do meio fio) x 0,15 (altura da vala) </t>
  </si>
  <si>
    <t xml:space="preserve"> 1779,73 (conforme projeto) </t>
  </si>
  <si>
    <t xml:space="preserve"> 6583,91 (conforme projeto) </t>
  </si>
  <si>
    <t>COMPANHIA DE DESENVOLVIMENTO DOS VALES DO SÃO FRANCISCO E DO PARNAÍBA</t>
  </si>
  <si>
    <t>MEMÓRIA DE CÁLCULO DOS MOMENTOS DE TRANSPORTE PARA MOBILIZAÇÃO E DESMOBILIZAÇÃO</t>
  </si>
  <si>
    <t>Cidade pólo</t>
  </si>
  <si>
    <t>Vitória da Conquista/Ba</t>
  </si>
  <si>
    <t>Cidade beneficiada</t>
  </si>
  <si>
    <t>Dist. da Origem ao destino:</t>
  </si>
  <si>
    <t xml:space="preserve"> km</t>
  </si>
  <si>
    <t>Distância Total:</t>
  </si>
  <si>
    <t>Peso das máquinas:</t>
  </si>
  <si>
    <t>Grade de 24 discos rebocável de 24"</t>
  </si>
  <si>
    <t xml:space="preserve"> ton</t>
  </si>
  <si>
    <t xml:space="preserve">Motoniveladora </t>
  </si>
  <si>
    <t>Retroescavadeira</t>
  </si>
  <si>
    <t>Rolo compactador liso vibratório 10,4 t</t>
  </si>
  <si>
    <t>Total</t>
  </si>
  <si>
    <t xml:space="preserve"> t x km</t>
  </si>
  <si>
    <t>Porto Seguro/Ba</t>
  </si>
  <si>
    <t>COFINS</t>
  </si>
  <si>
    <t xml:space="preserve">                 COMPANHIA DE DESENVOLVIMENTO DOS VALES DO SÃO FRANCISCO E DO PARNAÍBA</t>
  </si>
  <si>
    <t xml:space="preserve">                 2.ª GRD da 2ª SUPERINTENDÊNCIA REGIONAL- Bom Jesus da Lapa/Ba.</t>
  </si>
  <si>
    <t>BDI (%):</t>
  </si>
  <si>
    <t>ENCARGOS SOCIAIS (%):</t>
  </si>
  <si>
    <t>REF.</t>
  </si>
  <si>
    <t>PRECO UNITÁRIO</t>
  </si>
  <si>
    <t>TOTAL (R$)</t>
  </si>
  <si>
    <t>COMPOSICAO</t>
  </si>
  <si>
    <t>ENCARREGADO GERAL COM ENCARGOS COMPLEMENTARES</t>
  </si>
  <si>
    <t>ENGENHEIRO CIVIL DE OBRA JUNIOR COM ENCARGOS COMPLEMENTARES</t>
  </si>
  <si>
    <t>H</t>
  </si>
  <si>
    <t>Sub total:</t>
  </si>
  <si>
    <t>PREÇO UNITÁRIO TOTAL:</t>
  </si>
  <si>
    <t>CPU-01.E</t>
  </si>
  <si>
    <t>ADMINISTRAÇÃO LOCAL (PORTO SEGURO)</t>
  </si>
  <si>
    <t>Total para 4 meses:</t>
  </si>
  <si>
    <t>E9667</t>
  </si>
  <si>
    <t>Caminhão basculante com capacidade de 14 m³ - 188 kW</t>
  </si>
  <si>
    <t>CHP</t>
  </si>
  <si>
    <t>E9571</t>
  </si>
  <si>
    <t>Caminhão tanque com capacidade de 10.000 l - 188 kW</t>
  </si>
  <si>
    <t>Transporte com cavalo mecânico com semirreboque, capacidade de 30 T - Rodovia pavimentada</t>
  </si>
  <si>
    <t>t.km</t>
  </si>
  <si>
    <t>MOBILIZAÇÃO / DESMOBILIZAÇÃO (PORTO SEGURO)</t>
  </si>
  <si>
    <t>PLACA DE OBRA EM CHAPA DE ACO GALVANIZADO</t>
  </si>
  <si>
    <t>INSUMO</t>
  </si>
  <si>
    <t>PREGO 18X30.</t>
  </si>
  <si>
    <t>kg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</si>
  <si>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</si>
  <si>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</si>
  <si>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</si>
  <si>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</si>
  <si>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</si>
  <si>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</si>
  <si>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COMPOSIÇÃO</t>
  </si>
  <si>
    <t>BETONEIRA 320 L, DIESEL, POTENCIA DE 5,5 HP, SEM CARREGADOR MECANICO (LOCACAO)</t>
  </si>
  <si>
    <t>h</t>
  </si>
  <si>
    <t>CARPINTEIRO DE FORMAS COM ENCARGOS COMPLEMENTARES</t>
  </si>
  <si>
    <t>SERVENTE COM ENCARGOS COMPLEMENTARES</t>
  </si>
  <si>
    <t>SERVIÇOS TOPOGRÁFICOS</t>
  </si>
  <si>
    <t>SARRAFO DE MADEIRA APARELHADA *2 X 10* CM, MACARANDUBA, ANGELIM OU EQUIVALENTE DA REGIAO</t>
  </si>
  <si>
    <t>AUXILIAR DE TOPÓGRAFO COM ENCARGOS COMPLEMENTARES</t>
  </si>
  <si>
    <t>NIVELADOR COM ENCARGOS COMPLEMENTARES</t>
  </si>
  <si>
    <t>DESENHISTA DETALHISTA COM ENCARGOS COMPLEMENTARES</t>
  </si>
  <si>
    <t>CAMINHONETE CABINE SIMPLES COM MOTOR 1.6 FLEX, CÂMBIO MANUAL, POTÊNCIA 101/104 CV, 2 PORTAS - CHP DIURNO. AF_11/2015</t>
  </si>
  <si>
    <t>chp</t>
  </si>
  <si>
    <t xml:space="preserve">                      COMPANHIA DE DESENVOLVIMENTO DOS VALES DO SÃO FRANCISCO E DO PARNAÍBA</t>
  </si>
  <si>
    <t xml:space="preserve">                      2.ª GRD da 2ª SUPERINTENDÊNCIA REGIONAL- Bom Jesus da Lapa/Ba.</t>
  </si>
  <si>
    <t>Próprio</t>
  </si>
  <si>
    <t>UNID</t>
  </si>
  <si>
    <t>COEF.</t>
  </si>
  <si>
    <t>PRECO UNITÁRIO (R$)</t>
  </si>
  <si>
    <t>AREIA MEDIA - POSTO JAZIDA/FORNECEDOR (RETIRADO NA JAZIDA, SEM TRANSPORTE)</t>
  </si>
  <si>
    <t>0,0568000</t>
  </si>
  <si>
    <t>PO DE PEDRA (POSTO PEDREIRA/FORNECEDOR, SEM FRETE)</t>
  </si>
  <si>
    <t>CALCETEIRO COM ENCARGOS COMPLEMENTARES</t>
  </si>
  <si>
    <t>COMPACTAÇÃO MANUAL DE PAVIMENTAÇÃO DE BLOCO DE CONCRETO INTERTRAVADO COM PLACA VIBRATÓRIA 400KG - 7 A 10 HP NÃO REVERSÍVEL</t>
  </si>
  <si>
    <t>91283</t>
  </si>
  <si>
    <t>CORTADORA DE PISO COM MOTOR 4 TEMPOS A GASOLINA, POTÊNCIA DE 13 HP, COM DISCO DE CORTE DIAMANTADO SEGMENTADO PARA CONCRETO, DIÂMETRO DE 350 MM, FURO DE 1" (14 X 1") - CHP DIURNO. AF_08/2015</t>
  </si>
  <si>
    <t>BDI</t>
  </si>
  <si>
    <t>Total Serviços:</t>
  </si>
  <si>
    <t xml:space="preserve">Próprio </t>
  </si>
  <si>
    <t>CHI</t>
  </si>
  <si>
    <t>E9605</t>
  </si>
  <si>
    <t>CAMINHÃO PIPA 6.000 L.</t>
  </si>
  <si>
    <t>MOTONIVELADORA POTÊNCIA BÁSICA LÍQUIDA (PRIMEIRA MARCHA) 125 HP, PESO BRUTO 13032 KG, LARGURA DA LÂMINA DE 3,7 M - CHP DIURNO. AF_06/2014</t>
  </si>
  <si>
    <t>MOTONIVELADORA POTÊNCIA BÁSICA LÍQUIDA (PRIMEIRA MARCHA) 125 HP, PESO BRUTO 13032 KG, LARGURA DA LÂMINA DE 3,7 M - CHI DIURNO. AF_06/2014</t>
  </si>
  <si>
    <t>E9685</t>
  </si>
  <si>
    <t>ROLO COMPACTADOR VIBRATÓRIO PÉ DE CARNEIRO PARA SOLOS, AUTOPROPELIDO POR PNEUS DE 11,6 T</t>
  </si>
  <si>
    <t xml:space="preserve">EXECUÇÃO DE PASSEIO EM PISO INTERTRAVADO, COM BLOCO RETANGULAR COR NATURAL DE 20 X 10 CM, ESPESSURA 8 CM </t>
  </si>
  <si>
    <t>BLOQUETE/PISO INTERTRAVADO DE CONCRETO - MODELO ONDA/16 FACES/RETANGULAR/TIJOLINHO/PAVER/HOLANDÊS/PARALELEPÍPEDO, 22 X 11 CM, E = 8 CM, RESISTÊNCIA DE 35 MPA, COR NATURAL</t>
  </si>
  <si>
    <t xml:space="preserve">EXECUÇÃO DE PASSEIO EM PISO INTERTRAVADO, COM BLOCO RETANGULAR COLORIDO DE 20 X 10 CM, ESPESSURA 8 CM </t>
  </si>
  <si>
    <t>BLOQUETE/PISO INTERTRAVADO DE CONCRETO - MODELO ONDA/16 FACES/RETANGULAR/TIJOLINHO/PAVER/HOLANDÊS/PARALELEPÍPEDO, 20 X 10 CM, E = 8 CM, RESISTÊNCIA DE 35 MPA, COLORIDO</t>
  </si>
  <si>
    <t>REGULARIZAÇÃO E COMPACTAÇÃO DE SUBLEITO DE SOLO PREDOMINANTEMENTE ARGILOSO</t>
  </si>
  <si>
    <t>ROLO COMPACTADOR VIBRATÓRIO PÉ DE CARNEIRO PARA SOLOS, POTÊNCIA 80 HP, PESO OPERACIONAL SEM/COM LASTRO 7,4 / 8,8 T, LARGURA DE TRABALHO 1,68 M - CHI DIURNO. AF_02/2016</t>
  </si>
  <si>
    <t>OBRA:</t>
  </si>
  <si>
    <t>Obras rodoviárias</t>
  </si>
  <si>
    <t>FAIXAS DE ADMISSIBILIDADE DE ACORDO COM O ACORDÃO N. 2622/2013 DO TCU</t>
  </si>
  <si>
    <t xml:space="preserve">DISCRIMINAÇÃO </t>
  </si>
  <si>
    <t>PERC.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</si>
  <si>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</si>
  <si>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</si>
  <si>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</si>
  <si>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</si>
  <si>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</si>
  <si>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</si>
  <si>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</si>
  <si>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</si>
  <si>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</si>
  <si>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</si>
  <si>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</si>
  <si>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</si>
  <si>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</si>
  <si>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</si>
  <si>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</si>
  <si>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</si>
  <si>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</si>
  <si>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</si>
  <si>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</si>
  <si>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</si>
  <si>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</si>
  <si>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</si>
  <si>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</si>
  <si>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</si>
  <si>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</si>
  <si>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</si>
  <si>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</si>
  <si>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</si>
  <si>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</si>
  <si>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</si>
  <si>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</si>
  <si>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</si>
  <si>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</si>
  <si>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</si>
  <si>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</si>
  <si>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</si>
  <si>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NOME DA CONCORRENTE:</t>
  </si>
  <si>
    <t>EDITAL:</t>
  </si>
  <si>
    <t>FOLHA:</t>
  </si>
  <si>
    <t>VIGÊNCIA A PARTIR DE 10/2021</t>
  </si>
  <si>
    <t>COM DESONERAÇÃO</t>
  </si>
  <si>
    <t>NÃO DESONERADO</t>
  </si>
  <si>
    <t>HORISTA</t>
  </si>
  <si>
    <t>MENSALISTA</t>
  </si>
  <si>
    <t>GRUPO A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</si>
  <si>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</si>
  <si>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</si>
  <si>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</si>
  <si>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</si>
  <si>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</si>
  <si>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</si>
  <si>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</si>
  <si>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</si>
  <si>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</si>
  <si>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</si>
  <si>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</si>
  <si>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</si>
  <si>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</si>
  <si>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</si>
  <si>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</si>
  <si>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</si>
  <si>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</si>
  <si>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</si>
  <si>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</si>
  <si>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</si>
  <si>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</si>
  <si>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</si>
  <si>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</si>
  <si>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</si>
  <si>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</si>
  <si>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</si>
  <si>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</si>
  <si>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</si>
  <si>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</si>
  <si>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</si>
  <si>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</si>
  <si>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</si>
  <si>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</si>
  <si>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</si>
  <si>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</si>
  <si>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</si>
  <si>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</si>
  <si>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</si>
  <si>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</si>
  <si>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</si>
  <si>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</si>
  <si>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</si>
  <si>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</si>
  <si>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</si>
  <si>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</si>
  <si>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</si>
  <si>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</si>
  <si>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</si>
  <si>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</si>
  <si>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</si>
  <si>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</si>
  <si>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</si>
  <si>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</si>
  <si>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</si>
  <si>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</si>
  <si>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</si>
  <si>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</si>
  <si>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</si>
  <si>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PLANILHA ORÇAMENTÁRIA - PORTO SEGURO - LOTE 05</t>
  </si>
  <si>
    <t>SINAPI: OUTBRO/2021; ORSE: SETEMBRO/2021; SICRO: JULHO/2021</t>
  </si>
  <si>
    <t>CRONOGRAMA FÍSICO/FINANCEIRO - PORTO SEGURO - LOTE 05</t>
  </si>
  <si>
    <t>MEMÓRIA DE CÁLCULO - PORTO SEGURO - LOTE 05</t>
  </si>
  <si>
    <t>LOTE 05 - PORTO SEGURO</t>
  </si>
  <si>
    <t xml:space="preserve">                 MINISTÉRIO DO DESENVOLVIMENTO REGIONAL</t>
  </si>
  <si>
    <t>MEMÓRIA DE CALCULO DO BDI  DOS SERVIÇOS - NÃO DESONERADO</t>
  </si>
  <si>
    <t>BDI APLICADO NA OBRA (SEM RISCO, SEGURO E GARANTIA)</t>
  </si>
  <si>
    <t>PLANILHA DE DETALHAMENTO DO BDI - PRAÇAS</t>
  </si>
  <si>
    <t>DETALHAMENTO DOS ENCARGOS SOCIAIS (%) - PRAÇAS</t>
  </si>
  <si>
    <t xml:space="preserve">                      MINISTÉRIO DO DESENVOLVIMENTO REGIONAL</t>
  </si>
  <si>
    <t>PLANILHA COMPOSIÇÕES DE PREÇOS - PRAÇA PORTO SEGURO - LOTE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</si>
</sst>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0000"/>
    <numFmt numFmtId="166" formatCode="_(&quot;R$ &quot;* #,##0.00_);_(&quot;R$ &quot;* \(#,##0.00\);_(&quot;R$ &quot;* &quot;-&quot;??_);_(@_)"/>
    <numFmt numFmtId="167" formatCode="&quot;R$&quot;\ #,##0.00"/>
    <numFmt numFmtId="169" formatCode="#,##0.00\ ;&quot; (&quot;#,##0.00\);&quot; -&quot;#\ ;@\ "/>
    <numFmt numFmtId="170" formatCode="_(* #,##0.00_);_(* \(#,##0.00\);_(* &quot;-&quot;??_);_(@_)"/>
    <numFmt numFmtId="172" formatCode="#,##0.0000000"/>
    <numFmt numFmtId="173" formatCode="#,##0.0000"/>
    <numFmt numFmtId="175" formatCode="0.0000"/>
  </numFmts>
  <fonts count="51">
    <font>
      <sz val="10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b/>
      <sz val="11"/>
      <name val="Arial"/>
      <charset val="134"/>
    </font>
    <font>
      <b/>
      <sz val="8"/>
      <color indexed="8"/>
      <name val="Times New Roman"/>
      <charset val="134"/>
    </font>
    <font>
      <sz val="10"/>
      <color indexed="8"/>
      <name val="Times New Roman"/>
      <charset val="134"/>
    </font>
    <font>
      <sz val="8"/>
      <color indexed="8"/>
      <name val="Times New Roman"/>
      <charset val="134"/>
    </font>
    <font>
      <sz val="10"/>
      <name val="Times New Roman"/>
      <charset val="134"/>
    </font>
    <font>
      <b/>
      <sz val="10"/>
      <name val="Times New Roman"/>
      <charset val="134"/>
    </font>
    <font>
      <b/>
      <sz val="10"/>
      <color indexed="8"/>
      <name val="Times New Roman"/>
      <charset val="134"/>
    </font>
    <font>
      <sz val="10"/>
      <name val="Arial"/>
    </font>
    <font>
      <sz val="12"/>
      <name val="Arial"/>
    </font>
    <font>
      <b/>
      <sz val="12"/>
      <name val="Arial"/>
    </font>
    <font>
      <b/>
      <sz val="9"/>
      <name val="Arial"/>
      <charset val="134"/>
    </font>
    <font>
      <b/>
      <sz val="16"/>
      <name val="Arial"/>
      <charset val="134"/>
    </font>
    <font>
      <sz val="11"/>
      <name val="Arial"/>
      <charset val="134"/>
    </font>
    <font>
      <sz val="12"/>
      <name val="Arial"/>
      <charset val="134"/>
    </font>
    <font>
      <b/>
      <sz val="11"/>
      <color theme="0"/>
      <name val="Arial"/>
      <charset val="134"/>
    </font>
    <font>
      <sz val="11"/>
      <color theme="1"/>
      <name val="Arial"/>
      <charset val="134"/>
    </font>
    <font>
      <b/>
      <sz val="8"/>
      <name val="Arial"/>
      <charset val="134"/>
    </font>
    <font>
      <b/>
      <sz val="8"/>
      <color theme="1"/>
      <name val="Arial"/>
      <charset val="134"/>
    </font>
    <font>
      <b/>
      <strike/>
      <sz val="10"/>
      <name val="Arial"/>
      <charset val="134"/>
    </font>
    <font>
      <b/>
      <sz val="12"/>
      <color rgb="FFFF0000"/>
      <name val="Arial"/>
      <charset val="134"/>
    </font>
    <font>
      <b/>
      <sz val="8"/>
      <color indexed="8"/>
      <name val="Courier"/>
      <charset val="134"/>
    </font>
    <font>
      <sz val="8"/>
      <color indexed="8"/>
      <name val="Courier"/>
      <charset val="134"/>
    </font>
    <font>
      <b/>
      <sz val="8"/>
      <name val="Verdana"/>
      <charset val="134"/>
    </font>
    <font>
      <b/>
      <sz val="11"/>
      <name val="Verdana"/>
      <charset val="134"/>
    </font>
    <font>
      <b/>
      <sz val="15"/>
      <name val="Arial"/>
      <charset val="134"/>
    </font>
    <font>
      <b/>
      <sz val="18"/>
      <name val="Arial"/>
      <charset val="134"/>
    </font>
    <font>
      <sz val="9"/>
      <name val="Verdana"/>
      <charset val="134"/>
    </font>
    <font>
      <b/>
      <sz val="9"/>
      <name val="Verdana"/>
      <charset val="134"/>
    </font>
    <font>
      <sz val="8"/>
      <name val="Verdana"/>
      <charset val="134"/>
    </font>
    <font>
      <b/>
      <sz val="10"/>
      <color indexed="8"/>
      <name val="Arial Narrow"/>
      <charset val="134"/>
    </font>
    <font>
      <sz val="10"/>
      <color indexed="8"/>
      <name val="Arial Narrow"/>
      <charset val="134"/>
    </font>
    <font>
      <sz val="12"/>
      <color indexed="8"/>
      <name val="Arial Narrow"/>
      <charset val="134"/>
    </font>
    <font>
      <b/>
      <sz val="14"/>
      <name val="Arial"/>
      <charset val="134"/>
    </font>
    <font>
      <b/>
      <sz val="12"/>
      <name val="MonoMM1_ZeroNormal"/>
      <charset val="134"/>
    </font>
    <font>
      <sz val="10"/>
      <name val="MonoMM1_ZeroNormal"/>
      <charset val="134"/>
    </font>
    <font>
      <sz val="11"/>
      <color indexed="8"/>
      <name val="Arial Narrow"/>
      <charset val="134"/>
    </font>
    <font>
      <sz val="8"/>
      <name val="Arial"/>
      <charset val="134"/>
    </font>
    <font>
      <sz val="10"/>
      <color rgb="FFFF0000"/>
      <name val="Arial"/>
      <charset val="134"/>
    </font>
    <font>
      <b/>
      <sz val="11"/>
      <color indexed="8"/>
      <name val="Arial Narrow"/>
      <charset val="134"/>
    </font>
    <font>
      <b/>
      <sz val="14"/>
      <color rgb="FFFF0000"/>
      <name val="Arial"/>
      <charset val="134"/>
    </font>
    <font>
      <b/>
      <sz val="11"/>
      <name val="MonoMM1_ZeroNormal"/>
      <charset val="134"/>
    </font>
    <font>
      <sz val="11"/>
      <color theme="1"/>
      <name val="Calibri"/>
      <charset val="134"/>
      <scheme val="minor"/>
    </font>
    <font>
      <sz val="10"/>
      <name val="Arial"/>
    </font>
    <font>
      <sz val="11"/>
      <color rgb="FF000000"/>
      <name val="Calibri"/>
      <charset val="134"/>
    </font>
    <font>
      <sz val="10"/>
      <name val="Arial"/>
      <charset val="134"/>
    </font>
    <font>
      <sz val="10"/>
      <color rgb="FFFF0000"/>
      <name val="Arial"/>
      <family val="2"/>
    </font>
    <font>
      <b/>
      <sz val="11"/>
      <name val="Arial"/>
      <family val="2"/>
    </font>
    <font>
      <b/>
      <sz val="16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14993743705557422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2065187536243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6">
    <xf numFmtId="0" fontId="0" fillId="0" borderId="0"/>
    <xf numFmtId="170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47" fillId="0" borderId="0"/>
    <xf numFmtId="166" fontId="47" fillId="0" borderId="0" applyFont="0" applyFill="0" applyBorder="0" applyAlignment="0" applyProtection="0"/>
    <xf numFmtId="170" fontId="45" fillId="0" borderId="0" applyFont="0" applyFill="0" applyBorder="0" applyAlignment="0" applyProtection="0"/>
    <xf numFmtId="0" fontId="47" fillId="0" borderId="0"/>
    <xf numFmtId="170" fontId="47" fillId="0" borderId="0" applyFont="0" applyFill="0" applyBorder="0" applyAlignment="0" applyProtection="0"/>
    <xf numFmtId="0" fontId="47" fillId="0" borderId="0"/>
    <xf numFmtId="0" fontId="44" fillId="0" borderId="0"/>
    <xf numFmtId="0" fontId="44" fillId="0" borderId="0"/>
    <xf numFmtId="43" fontId="44" fillId="0" borderId="0" applyFont="0" applyFill="0" applyBorder="0" applyAlignment="0" applyProtection="0"/>
    <xf numFmtId="0" fontId="46" fillId="0" borderId="0"/>
    <xf numFmtId="9" fontId="47" fillId="0" borderId="0" applyFont="0" applyFill="0" applyBorder="0" applyAlignment="0" applyProtection="0"/>
    <xf numFmtId="43" fontId="44" fillId="0" borderId="0" applyFont="0" applyFill="0" applyBorder="0" applyAlignment="0" applyProtection="0"/>
  </cellStyleXfs>
  <cellXfs count="50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0" fontId="3" fillId="0" borderId="7" xfId="0" applyNumberFormat="1" applyFont="1" applyBorder="1" applyAlignment="1">
      <alignment vertical="center"/>
    </xf>
    <xf numFmtId="10" fontId="3" fillId="0" borderId="9" xfId="0" applyNumberFormat="1" applyFont="1" applyBorder="1" applyAlignment="1">
      <alignment vertical="center"/>
    </xf>
    <xf numFmtId="0" fontId="2" fillId="0" borderId="0" xfId="4" applyFont="1"/>
    <xf numFmtId="0" fontId="6" fillId="0" borderId="16" xfId="13" applyFont="1" applyFill="1" applyBorder="1" applyAlignment="1">
      <alignment horizontal="center" vertical="center" wrapText="1"/>
    </xf>
    <xf numFmtId="172" fontId="6" fillId="0" borderId="16" xfId="5" applyNumberFormat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0" fontId="8" fillId="0" borderId="21" xfId="9" applyNumberFormat="1" applyFont="1" applyBorder="1" applyAlignment="1">
      <alignment vertical="center"/>
    </xf>
    <xf numFmtId="0" fontId="8" fillId="0" borderId="21" xfId="9" applyFont="1" applyBorder="1" applyAlignment="1">
      <alignment horizontal="right" vertical="center"/>
    </xf>
    <xf numFmtId="10" fontId="8" fillId="0" borderId="22" xfId="9" applyNumberFormat="1" applyFont="1" applyBorder="1" applyAlignment="1">
      <alignment horizontal="right" vertical="center"/>
    </xf>
    <xf numFmtId="0" fontId="7" fillId="0" borderId="23" xfId="0" applyFont="1" applyBorder="1" applyAlignment="1">
      <alignment horizontal="center" vertical="center"/>
    </xf>
    <xf numFmtId="0" fontId="8" fillId="0" borderId="23" xfId="9" applyFont="1" applyBorder="1" applyAlignment="1">
      <alignment horizontal="right" vertical="center"/>
    </xf>
    <xf numFmtId="10" fontId="8" fillId="0" borderId="24" xfId="9" applyNumberFormat="1" applyFont="1" applyBorder="1" applyAlignment="1">
      <alignment horizontal="right" vertical="center"/>
    </xf>
    <xf numFmtId="0" fontId="7" fillId="4" borderId="26" xfId="0" applyFont="1" applyFill="1" applyBorder="1" applyAlignment="1">
      <alignment horizontal="center" vertical="center"/>
    </xf>
    <xf numFmtId="0" fontId="9" fillId="2" borderId="26" xfId="13" applyFont="1" applyFill="1" applyBorder="1" applyAlignment="1">
      <alignment horizontal="center" vertical="center" wrapText="1"/>
    </xf>
    <xf numFmtId="0" fontId="6" fillId="0" borderId="16" xfId="13" applyFont="1" applyFill="1" applyBorder="1" applyAlignment="1">
      <alignment horizontal="justify" vertical="center" wrapText="1"/>
    </xf>
    <xf numFmtId="0" fontId="0" fillId="0" borderId="9" xfId="4" applyFont="1" applyFill="1" applyBorder="1" applyAlignment="1">
      <alignment horizontal="center" vertical="center"/>
    </xf>
    <xf numFmtId="0" fontId="6" fillId="0" borderId="16" xfId="13" applyFont="1" applyFill="1" applyBorder="1" applyAlignment="1">
      <alignment horizontal="justify" vertical="center"/>
    </xf>
    <xf numFmtId="0" fontId="10" fillId="0" borderId="0" xfId="0" applyFont="1" applyFill="1" applyBorder="1" applyAlignment="1"/>
    <xf numFmtId="0" fontId="10" fillId="0" borderId="28" xfId="7" applyFont="1" applyFill="1" applyBorder="1" applyAlignment="1"/>
    <xf numFmtId="0" fontId="10" fillId="0" borderId="29" xfId="7" applyFont="1" applyFill="1" applyBorder="1" applyAlignment="1"/>
    <xf numFmtId="0" fontId="10" fillId="0" borderId="30" xfId="7" applyFont="1" applyFill="1" applyBorder="1" applyAlignment="1"/>
    <xf numFmtId="0" fontId="10" fillId="0" borderId="31" xfId="7" applyFont="1" applyFill="1" applyBorder="1" applyAlignment="1"/>
    <xf numFmtId="0" fontId="10" fillId="0" borderId="0" xfId="7" applyFont="1" applyFill="1" applyBorder="1" applyAlignment="1"/>
    <xf numFmtId="0" fontId="10" fillId="0" borderId="32" xfId="7" applyFont="1" applyFill="1" applyBorder="1" applyAlignment="1"/>
    <xf numFmtId="0" fontId="10" fillId="0" borderId="33" xfId="7" applyFont="1" applyFill="1" applyBorder="1" applyAlignment="1"/>
    <xf numFmtId="0" fontId="10" fillId="0" borderId="25" xfId="7" applyFont="1" applyFill="1" applyBorder="1" applyAlignment="1"/>
    <xf numFmtId="0" fontId="10" fillId="0" borderId="26" xfId="7" applyFont="1" applyFill="1" applyBorder="1" applyAlignment="1"/>
    <xf numFmtId="0" fontId="10" fillId="0" borderId="34" xfId="7" applyFont="1" applyFill="1" applyBorder="1" applyAlignment="1"/>
    <xf numFmtId="0" fontId="12" fillId="0" borderId="26" xfId="9" applyFont="1" applyFill="1" applyBorder="1" applyAlignment="1">
      <alignment horizontal="center" vertical="center"/>
    </xf>
    <xf numFmtId="0" fontId="11" fillId="0" borderId="31" xfId="7" applyFont="1" applyFill="1" applyBorder="1" applyAlignment="1"/>
    <xf numFmtId="0" fontId="12" fillId="0" borderId="33" xfId="9" applyFont="1" applyFill="1" applyBorder="1" applyAlignment="1">
      <alignment horizontal="center" vertical="center"/>
    </xf>
    <xf numFmtId="0" fontId="11" fillId="0" borderId="42" xfId="9" applyFont="1" applyFill="1" applyBorder="1" applyAlignment="1">
      <alignment horizontal="center"/>
    </xf>
    <xf numFmtId="0" fontId="11" fillId="0" borderId="20" xfId="9" applyFont="1" applyFill="1" applyBorder="1" applyAlignment="1"/>
    <xf numFmtId="169" fontId="11" fillId="5" borderId="20" xfId="9" applyNumberFormat="1" applyFont="1" applyFill="1" applyBorder="1" applyAlignment="1">
      <alignment horizontal="center" vertical="center"/>
    </xf>
    <xf numFmtId="169" fontId="11" fillId="5" borderId="43" xfId="9" applyNumberFormat="1" applyFont="1" applyFill="1" applyBorder="1" applyAlignment="1">
      <alignment horizontal="center" vertical="center"/>
    </xf>
    <xf numFmtId="0" fontId="11" fillId="0" borderId="44" xfId="9" applyFont="1" applyFill="1" applyBorder="1" applyAlignment="1">
      <alignment horizontal="center"/>
    </xf>
    <xf numFmtId="0" fontId="11" fillId="0" borderId="17" xfId="9" applyFont="1" applyFill="1" applyBorder="1" applyAlignment="1"/>
    <xf numFmtId="169" fontId="11" fillId="5" borderId="17" xfId="9" applyNumberFormat="1" applyFont="1" applyFill="1" applyBorder="1" applyAlignment="1">
      <alignment horizontal="center" vertical="center"/>
    </xf>
    <xf numFmtId="169" fontId="11" fillId="5" borderId="45" xfId="9" applyNumberFormat="1" applyFont="1" applyFill="1" applyBorder="1" applyAlignment="1">
      <alignment horizontal="center" vertical="center"/>
    </xf>
    <xf numFmtId="0" fontId="11" fillId="0" borderId="46" xfId="9" applyFont="1" applyFill="1" applyBorder="1" applyAlignment="1">
      <alignment horizontal="center"/>
    </xf>
    <xf numFmtId="0" fontId="11" fillId="0" borderId="15" xfId="9" applyFont="1" applyFill="1" applyBorder="1" applyAlignment="1"/>
    <xf numFmtId="169" fontId="11" fillId="5" borderId="15" xfId="9" applyNumberFormat="1" applyFont="1" applyFill="1" applyBorder="1" applyAlignment="1">
      <alignment horizontal="center" vertical="center"/>
    </xf>
    <xf numFmtId="169" fontId="11" fillId="5" borderId="47" xfId="9" applyNumberFormat="1" applyFont="1" applyFill="1" applyBorder="1" applyAlignment="1">
      <alignment horizontal="center" vertical="center"/>
    </xf>
    <xf numFmtId="0" fontId="12" fillId="0" borderId="9" xfId="9" applyFont="1" applyFill="1" applyBorder="1" applyAlignment="1">
      <alignment vertical="center"/>
    </xf>
    <xf numFmtId="169" fontId="12" fillId="6" borderId="9" xfId="9" applyNumberFormat="1" applyFont="1" applyFill="1" applyBorder="1" applyAlignment="1">
      <alignment horizontal="center" vertical="center"/>
    </xf>
    <xf numFmtId="169" fontId="12" fillId="6" borderId="41" xfId="9" applyNumberFormat="1" applyFont="1" applyFill="1" applyBorder="1" applyAlignment="1">
      <alignment horizontal="center" vertical="center"/>
    </xf>
    <xf numFmtId="0" fontId="11" fillId="0" borderId="46" xfId="9" applyFont="1" applyFill="1" applyBorder="1" applyAlignment="1">
      <alignment horizontal="center" vertical="center"/>
    </xf>
    <xf numFmtId="0" fontId="11" fillId="0" borderId="15" xfId="9" applyFont="1" applyFill="1" applyBorder="1" applyAlignment="1">
      <alignment horizontal="justify" vertical="center" wrapText="1"/>
    </xf>
    <xf numFmtId="169" fontId="12" fillId="6" borderId="49" xfId="9" applyNumberFormat="1" applyFont="1" applyFill="1" applyBorder="1" applyAlignment="1">
      <alignment horizontal="center" vertical="center"/>
    </xf>
    <xf numFmtId="10" fontId="12" fillId="6" borderId="49" xfId="9" applyNumberFormat="1" applyFont="1" applyFill="1" applyBorder="1" applyAlignment="1">
      <alignment horizontal="center" vertical="center"/>
    </xf>
    <xf numFmtId="10" fontId="12" fillId="6" borderId="50" xfId="9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/>
    <xf numFmtId="0" fontId="1" fillId="0" borderId="33" xfId="0" applyFont="1" applyBorder="1" applyAlignment="1">
      <alignment vertical="center"/>
    </xf>
    <xf numFmtId="0" fontId="1" fillId="0" borderId="31" xfId="0" applyFont="1" applyBorder="1" applyAlignment="1">
      <alignment vertical="center" wrapText="1"/>
    </xf>
    <xf numFmtId="49" fontId="17" fillId="8" borderId="31" xfId="11" applyNumberFormat="1" applyFont="1" applyFill="1" applyBorder="1" applyAlignment="1">
      <alignment horizontal="center" vertical="center"/>
    </xf>
    <xf numFmtId="49" fontId="17" fillId="8" borderId="0" xfId="11" applyNumberFormat="1" applyFont="1" applyFill="1" applyBorder="1" applyAlignment="1">
      <alignment horizontal="center" vertical="center"/>
    </xf>
    <xf numFmtId="0" fontId="18" fillId="0" borderId="0" xfId="11" applyFont="1" applyBorder="1"/>
    <xf numFmtId="0" fontId="13" fillId="8" borderId="0" xfId="11" applyFont="1" applyFill="1" applyBorder="1" applyAlignment="1">
      <alignment horizontal="center" vertical="center"/>
    </xf>
    <xf numFmtId="0" fontId="13" fillId="0" borderId="48" xfId="11" applyFont="1" applyFill="1" applyBorder="1" applyAlignment="1">
      <alignment horizontal="center" vertical="center"/>
    </xf>
    <xf numFmtId="0" fontId="0" fillId="0" borderId="0" xfId="11" applyFont="1" applyBorder="1" applyAlignment="1">
      <alignment vertical="center"/>
    </xf>
    <xf numFmtId="170" fontId="2" fillId="0" borderId="65" xfId="11" applyNumberFormat="1" applyFont="1" applyFill="1" applyBorder="1" applyAlignment="1">
      <alignment horizontal="center" vertical="center" wrapText="1"/>
    </xf>
    <xf numFmtId="0" fontId="2" fillId="0" borderId="0" xfId="11" applyFont="1" applyFill="1" applyBorder="1" applyAlignment="1">
      <alignment horizontal="justify" vertical="center" wrapText="1"/>
    </xf>
    <xf numFmtId="0" fontId="2" fillId="0" borderId="65" xfId="11" applyFont="1" applyFill="1" applyBorder="1" applyAlignment="1">
      <alignment horizontal="justify" vertical="center" wrapText="1"/>
    </xf>
    <xf numFmtId="0" fontId="0" fillId="0" borderId="33" xfId="11" applyFont="1" applyBorder="1" applyAlignment="1">
      <alignment horizontal="center" vertical="center"/>
    </xf>
    <xf numFmtId="0" fontId="0" fillId="0" borderId="9" xfId="11" applyFont="1" applyFill="1" applyBorder="1" applyAlignment="1">
      <alignment vertical="center"/>
    </xf>
    <xf numFmtId="10" fontId="0" fillId="9" borderId="41" xfId="12" applyNumberFormat="1" applyFont="1" applyFill="1" applyBorder="1" applyAlignment="1" applyProtection="1">
      <alignment horizontal="center" vertical="center"/>
      <protection locked="0"/>
    </xf>
    <xf numFmtId="10" fontId="0" fillId="0" borderId="0" xfId="12" applyNumberFormat="1" applyFont="1" applyBorder="1" applyAlignment="1">
      <alignment horizontal="center" vertical="center"/>
    </xf>
    <xf numFmtId="10" fontId="0" fillId="0" borderId="33" xfId="12" applyNumberFormat="1" applyFont="1" applyBorder="1" applyAlignment="1">
      <alignment horizontal="center" vertical="center"/>
    </xf>
    <xf numFmtId="10" fontId="2" fillId="0" borderId="50" xfId="12" applyNumberFormat="1" applyFont="1" applyBorder="1" applyAlignment="1">
      <alignment horizontal="center" vertical="center"/>
    </xf>
    <xf numFmtId="10" fontId="2" fillId="0" borderId="0" xfId="12" applyNumberFormat="1" applyFont="1" applyBorder="1" applyAlignment="1">
      <alignment horizontal="center" vertical="center"/>
    </xf>
    <xf numFmtId="10" fontId="0" fillId="0" borderId="48" xfId="12" applyNumberFormat="1" applyFont="1" applyBorder="1" applyAlignment="1">
      <alignment horizontal="center" vertical="center"/>
    </xf>
    <xf numFmtId="0" fontId="0" fillId="0" borderId="0" xfId="11" applyFont="1" applyBorder="1" applyAlignment="1">
      <alignment horizontal="center" vertical="center"/>
    </xf>
    <xf numFmtId="10" fontId="0" fillId="0" borderId="65" xfId="12" applyNumberFormat="1" applyFont="1" applyBorder="1" applyAlignment="1">
      <alignment horizontal="center" vertical="center"/>
    </xf>
    <xf numFmtId="0" fontId="0" fillId="0" borderId="72" xfId="11" applyFont="1" applyBorder="1" applyAlignment="1">
      <alignment horizontal="center" vertical="center"/>
    </xf>
    <xf numFmtId="10" fontId="0" fillId="9" borderId="75" xfId="12" applyNumberFormat="1" applyFont="1" applyFill="1" applyBorder="1" applyAlignment="1" applyProtection="1">
      <alignment horizontal="center" vertical="center"/>
      <protection locked="0"/>
    </xf>
    <xf numFmtId="10" fontId="2" fillId="0" borderId="0" xfId="12" applyNumberFormat="1" applyFont="1" applyBorder="1" applyAlignment="1">
      <alignment horizontal="center" vertical="center" wrapText="1"/>
    </xf>
    <xf numFmtId="10" fontId="0" fillId="0" borderId="78" xfId="12" applyNumberFormat="1" applyFont="1" applyBorder="1" applyAlignment="1">
      <alignment horizontal="center" vertical="center"/>
    </xf>
    <xf numFmtId="0" fontId="0" fillId="0" borderId="13" xfId="11" applyFont="1" applyFill="1" applyBorder="1" applyAlignment="1">
      <alignment vertical="center"/>
    </xf>
    <xf numFmtId="10" fontId="0" fillId="8" borderId="0" xfId="12" applyNumberFormat="1" applyFont="1" applyFill="1" applyBorder="1" applyAlignment="1">
      <alignment vertical="center"/>
    </xf>
    <xf numFmtId="10" fontId="0" fillId="0" borderId="0" xfId="12" applyNumberFormat="1" applyFont="1" applyBorder="1" applyAlignment="1">
      <alignment vertical="center"/>
    </xf>
    <xf numFmtId="0" fontId="0" fillId="0" borderId="0" xfId="11" applyFont="1" applyFill="1" applyBorder="1" applyAlignment="1">
      <alignment horizontal="center" vertical="center"/>
    </xf>
    <xf numFmtId="170" fontId="2" fillId="0" borderId="31" xfId="11" applyNumberFormat="1" applyFont="1" applyFill="1" applyBorder="1" applyAlignment="1">
      <alignment horizontal="center" vertical="center" wrapText="1"/>
    </xf>
    <xf numFmtId="170" fontId="0" fillId="0" borderId="0" xfId="11" applyNumberFormat="1" applyFont="1" applyBorder="1" applyAlignment="1">
      <alignment vertical="center"/>
    </xf>
    <xf numFmtId="0" fontId="0" fillId="0" borderId="31" xfId="11" applyFont="1" applyFill="1" applyBorder="1" applyAlignment="1">
      <alignment horizontal="center" vertical="center"/>
    </xf>
    <xf numFmtId="0" fontId="2" fillId="0" borderId="0" xfId="11" applyFont="1" applyFill="1" applyBorder="1" applyAlignment="1">
      <alignment horizontal="center" vertical="center"/>
    </xf>
    <xf numFmtId="0" fontId="0" fillId="0" borderId="31" xfId="11" applyFont="1" applyFill="1" applyBorder="1" applyAlignment="1">
      <alignment horizontal="right" vertical="center"/>
    </xf>
    <xf numFmtId="0" fontId="0" fillId="0" borderId="0" xfId="11" applyFont="1" applyFill="1" applyBorder="1" applyAlignment="1">
      <alignment horizontal="right" vertical="center"/>
    </xf>
    <xf numFmtId="166" fontId="21" fillId="0" borderId="0" xfId="12" applyNumberFormat="1" applyFont="1" applyBorder="1" applyAlignment="1">
      <alignment vertical="center"/>
    </xf>
    <xf numFmtId="10" fontId="1" fillId="0" borderId="0" xfId="11" applyNumberFormat="1" applyFont="1" applyFill="1" applyBorder="1" applyAlignment="1">
      <alignment vertical="center"/>
    </xf>
    <xf numFmtId="10" fontId="1" fillId="0" borderId="53" xfId="11" applyNumberFormat="1" applyFont="1" applyFill="1" applyBorder="1" applyAlignment="1">
      <alignment vertical="center"/>
    </xf>
    <xf numFmtId="10" fontId="0" fillId="0" borderId="53" xfId="12" applyNumberFormat="1" applyFont="1" applyBorder="1" applyAlignment="1">
      <alignment vertical="center"/>
    </xf>
    <xf numFmtId="0" fontId="18" fillId="0" borderId="32" xfId="11" applyFont="1" applyBorder="1"/>
    <xf numFmtId="0" fontId="0" fillId="0" borderId="0" xfId="0" applyAlignment="1">
      <alignment horizontal="center"/>
    </xf>
    <xf numFmtId="0" fontId="13" fillId="0" borderId="50" xfId="11" applyFont="1" applyFill="1" applyBorder="1" applyAlignment="1">
      <alignment horizontal="center" vertical="center"/>
    </xf>
    <xf numFmtId="0" fontId="18" fillId="0" borderId="84" xfId="11" applyFont="1" applyBorder="1"/>
    <xf numFmtId="10" fontId="0" fillId="0" borderId="41" xfId="12" applyNumberFormat="1" applyFont="1" applyBorder="1" applyAlignment="1">
      <alignment horizontal="center" vertical="center"/>
    </xf>
    <xf numFmtId="10" fontId="0" fillId="0" borderId="33" xfId="12" applyNumberFormat="1" applyFont="1" applyFill="1" applyBorder="1" applyAlignment="1" applyProtection="1">
      <alignment horizontal="center" vertical="center"/>
    </xf>
    <xf numFmtId="10" fontId="0" fillId="0" borderId="50" xfId="12" applyNumberFormat="1" applyFont="1" applyBorder="1" applyAlignment="1">
      <alignment horizontal="center" vertical="center"/>
    </xf>
    <xf numFmtId="10" fontId="0" fillId="0" borderId="32" xfId="12" applyNumberFormat="1" applyFont="1" applyBorder="1" applyAlignment="1">
      <alignment horizontal="center" vertical="center"/>
    </xf>
    <xf numFmtId="10" fontId="0" fillId="0" borderId="84" xfId="12" applyNumberFormat="1" applyFont="1" applyBorder="1" applyAlignment="1">
      <alignment horizontal="center" vertical="center"/>
    </xf>
    <xf numFmtId="10" fontId="0" fillId="0" borderId="85" xfId="12" applyNumberFormat="1" applyFont="1" applyBorder="1" applyAlignment="1">
      <alignment horizontal="center" vertical="center"/>
    </xf>
    <xf numFmtId="10" fontId="0" fillId="8" borderId="32" xfId="12" applyNumberFormat="1" applyFont="1" applyFill="1" applyBorder="1" applyAlignment="1">
      <alignment vertical="center"/>
    </xf>
    <xf numFmtId="10" fontId="0" fillId="0" borderId="32" xfId="12" applyNumberFormat="1" applyFont="1" applyBorder="1" applyAlignment="1">
      <alignment vertical="center"/>
    </xf>
    <xf numFmtId="10" fontId="0" fillId="0" borderId="82" xfId="12" applyNumberFormat="1" applyFont="1" applyBorder="1" applyAlignment="1">
      <alignment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1" fillId="0" borderId="31" xfId="0" applyFont="1" applyBorder="1" applyAlignment="1">
      <alignment horizontal="center" vertical="center"/>
    </xf>
    <xf numFmtId="0" fontId="2" fillId="0" borderId="31" xfId="4" applyFont="1" applyBorder="1"/>
    <xf numFmtId="0" fontId="5" fillId="3" borderId="46" xfId="13" applyFont="1" applyFill="1" applyBorder="1" applyAlignment="1">
      <alignment horizontal="center" vertical="center" wrapText="1"/>
    </xf>
    <xf numFmtId="173" fontId="6" fillId="0" borderId="86" xfId="5" applyNumberFormat="1" applyFont="1" applyFill="1" applyBorder="1" applyAlignment="1">
      <alignment horizontal="center" vertical="center" wrapText="1"/>
    </xf>
    <xf numFmtId="0" fontId="5" fillId="3" borderId="44" xfId="13" applyFont="1" applyFill="1" applyBorder="1" applyAlignment="1">
      <alignment horizontal="center" vertical="center" wrapText="1"/>
    </xf>
    <xf numFmtId="0" fontId="7" fillId="0" borderId="87" xfId="0" applyFont="1" applyBorder="1" applyAlignment="1">
      <alignment horizontal="center" vertical="center"/>
    </xf>
    <xf numFmtId="167" fontId="8" fillId="0" borderId="43" xfId="4" applyNumberFormat="1" applyFont="1" applyFill="1" applyBorder="1" applyAlignment="1">
      <alignment horizontal="center" vertical="center"/>
    </xf>
    <xf numFmtId="0" fontId="7" fillId="0" borderId="88" xfId="0" applyFont="1" applyBorder="1" applyAlignment="1">
      <alignment horizontal="center" vertical="center"/>
    </xf>
    <xf numFmtId="167" fontId="8" fillId="0" borderId="89" xfId="9" applyNumberFormat="1" applyFont="1" applyFill="1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167" fontId="8" fillId="0" borderId="91" xfId="9" applyNumberFormat="1" applyFont="1" applyFill="1" applyBorder="1" applyAlignment="1">
      <alignment horizontal="center" vertical="center"/>
    </xf>
    <xf numFmtId="0" fontId="7" fillId="4" borderId="40" xfId="0" applyFont="1" applyFill="1" applyBorder="1" applyAlignment="1">
      <alignment horizontal="center" vertical="center"/>
    </xf>
    <xf numFmtId="167" fontId="8" fillId="4" borderId="41" xfId="9" applyNumberFormat="1" applyFont="1" applyFill="1" applyBorder="1" applyAlignment="1">
      <alignment horizontal="center" vertical="center"/>
    </xf>
    <xf numFmtId="0" fontId="7" fillId="4" borderId="69" xfId="0" applyFont="1" applyFill="1" applyBorder="1" applyAlignment="1">
      <alignment horizontal="center" vertical="center"/>
    </xf>
    <xf numFmtId="0" fontId="7" fillId="4" borderId="92" xfId="0" applyFont="1" applyFill="1" applyBorder="1" applyAlignment="1">
      <alignment horizontal="center" vertical="center"/>
    </xf>
    <xf numFmtId="0" fontId="9" fillId="2" borderId="92" xfId="13" applyFont="1" applyFill="1" applyBorder="1" applyAlignment="1">
      <alignment horizontal="center" vertical="center" wrapText="1"/>
    </xf>
    <xf numFmtId="167" fontId="8" fillId="4" borderId="50" xfId="9" applyNumberFormat="1" applyFont="1" applyFill="1" applyBorder="1" applyAlignment="1">
      <alignment horizontal="center" vertical="center"/>
    </xf>
    <xf numFmtId="0" fontId="23" fillId="10" borderId="9" xfId="13" applyFont="1" applyFill="1" applyBorder="1" applyAlignment="1">
      <alignment horizontal="center" vertical="center" wrapText="1"/>
    </xf>
    <xf numFmtId="0" fontId="23" fillId="10" borderId="9" xfId="13" applyFont="1" applyFill="1" applyBorder="1" applyAlignment="1">
      <alignment horizontal="left" vertical="center" wrapText="1"/>
    </xf>
    <xf numFmtId="175" fontId="23" fillId="10" borderId="9" xfId="3" applyNumberFormat="1" applyFont="1" applyFill="1" applyBorder="1" applyAlignment="1">
      <alignment horizontal="center" vertical="center" wrapText="1"/>
    </xf>
    <xf numFmtId="0" fontId="24" fillId="3" borderId="9" xfId="13" applyFont="1" applyFill="1" applyBorder="1" applyAlignment="1">
      <alignment horizontal="center" vertical="center" wrapText="1"/>
    </xf>
    <xf numFmtId="0" fontId="24" fillId="3" borderId="9" xfId="13" applyFont="1" applyFill="1" applyBorder="1" applyAlignment="1">
      <alignment horizontal="left" vertical="center" wrapText="1"/>
    </xf>
    <xf numFmtId="175" fontId="24" fillId="3" borderId="9" xfId="3" applyNumberFormat="1" applyFont="1" applyFill="1" applyBorder="1" applyAlignment="1">
      <alignment horizontal="center" vertical="center" wrapText="1"/>
    </xf>
    <xf numFmtId="2" fontId="24" fillId="3" borderId="9" xfId="3" applyNumberFormat="1" applyFont="1" applyFill="1" applyBorder="1" applyAlignment="1">
      <alignment horizontal="center" vertical="center" wrapText="1"/>
    </xf>
    <xf numFmtId="4" fontId="25" fillId="0" borderId="9" xfId="4" applyNumberFormat="1" applyFont="1" applyFill="1" applyBorder="1" applyAlignment="1">
      <alignment horizontal="right" vertical="center"/>
    </xf>
    <xf numFmtId="4" fontId="25" fillId="0" borderId="9" xfId="4" applyNumberFormat="1" applyFont="1" applyBorder="1" applyAlignment="1">
      <alignment horizontal="right" vertical="center"/>
    </xf>
    <xf numFmtId="4" fontId="25" fillId="8" borderId="9" xfId="4" applyNumberFormat="1" applyFont="1" applyFill="1" applyBorder="1" applyAlignment="1">
      <alignment horizontal="right" vertical="center"/>
    </xf>
    <xf numFmtId="4" fontId="26" fillId="11" borderId="9" xfId="4" applyNumberFormat="1" applyFont="1" applyFill="1" applyBorder="1" applyAlignment="1">
      <alignment horizontal="right" vertical="center"/>
    </xf>
    <xf numFmtId="0" fontId="24" fillId="12" borderId="9" xfId="13" applyFont="1" applyFill="1" applyBorder="1" applyAlignment="1">
      <alignment horizontal="center" vertical="center" wrapText="1"/>
    </xf>
    <xf numFmtId="4" fontId="24" fillId="3" borderId="9" xfId="13" applyNumberFormat="1" applyFont="1" applyFill="1" applyBorder="1" applyAlignment="1">
      <alignment horizontal="center" vertical="center" wrapText="1"/>
    </xf>
    <xf numFmtId="2" fontId="24" fillId="8" borderId="9" xfId="3" applyNumberFormat="1" applyFont="1" applyFill="1" applyBorder="1" applyAlignment="1">
      <alignment horizontal="center" vertical="center" wrapText="1"/>
    </xf>
    <xf numFmtId="10" fontId="0" fillId="0" borderId="0" xfId="2" applyNumberFormat="1" applyFont="1"/>
    <xf numFmtId="0" fontId="0" fillId="0" borderId="38" xfId="0" applyBorder="1" applyAlignment="1">
      <alignment horizontal="center"/>
    </xf>
    <xf numFmtId="0" fontId="0" fillId="0" borderId="51" xfId="0" applyBorder="1"/>
    <xf numFmtId="0" fontId="0" fillId="0" borderId="38" xfId="0" applyBorder="1"/>
    <xf numFmtId="165" fontId="24" fillId="3" borderId="9" xfId="13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/>
    </xf>
    <xf numFmtId="0" fontId="47" fillId="0" borderId="0" xfId="4"/>
    <xf numFmtId="0" fontId="0" fillId="0" borderId="31" xfId="4" applyFont="1" applyBorder="1"/>
    <xf numFmtId="0" fontId="0" fillId="0" borderId="0" xfId="4" applyFont="1" applyBorder="1"/>
    <xf numFmtId="4" fontId="0" fillId="0" borderId="0" xfId="4" applyNumberFormat="1" applyFont="1" applyBorder="1"/>
    <xf numFmtId="0" fontId="47" fillId="0" borderId="0" xfId="4" applyBorder="1" applyAlignment="1">
      <alignment vertical="center"/>
    </xf>
    <xf numFmtId="0" fontId="47" fillId="0" borderId="0" xfId="4" applyBorder="1"/>
    <xf numFmtId="0" fontId="2" fillId="0" borderId="31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31" xfId="4" applyFont="1" applyBorder="1" applyAlignment="1">
      <alignment vertical="top"/>
    </xf>
    <xf numFmtId="0" fontId="2" fillId="0" borderId="0" xfId="4" applyFont="1" applyBorder="1" applyAlignment="1">
      <alignment wrapText="1"/>
    </xf>
    <xf numFmtId="0" fontId="28" fillId="0" borderId="31" xfId="4" applyFont="1" applyBorder="1" applyAlignment="1">
      <alignment horizontal="center" vertical="center"/>
    </xf>
    <xf numFmtId="0" fontId="28" fillId="0" borderId="0" xfId="4" applyFont="1" applyBorder="1" applyAlignment="1">
      <alignment horizontal="center" vertical="center"/>
    </xf>
    <xf numFmtId="0" fontId="29" fillId="0" borderId="31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29" fillId="0" borderId="31" xfId="4" applyFont="1" applyBorder="1"/>
    <xf numFmtId="0" fontId="29" fillId="0" borderId="0" xfId="4" applyFont="1" applyBorder="1"/>
    <xf numFmtId="2" fontId="30" fillId="8" borderId="0" xfId="4" applyNumberFormat="1" applyFont="1" applyFill="1" applyBorder="1"/>
    <xf numFmtId="2" fontId="29" fillId="8" borderId="0" xfId="4" applyNumberFormat="1" applyFont="1" applyFill="1" applyBorder="1"/>
    <xf numFmtId="2" fontId="30" fillId="0" borderId="94" xfId="4" applyNumberFormat="1" applyFont="1" applyBorder="1" applyAlignment="1">
      <alignment horizontal="center" vertical="center"/>
    </xf>
    <xf numFmtId="0" fontId="47" fillId="0" borderId="31" xfId="4" applyBorder="1"/>
    <xf numFmtId="2" fontId="29" fillId="0" borderId="0" xfId="4" applyNumberFormat="1" applyFont="1" applyBorder="1"/>
    <xf numFmtId="0" fontId="30" fillId="0" borderId="0" xfId="4" applyFont="1" applyBorder="1"/>
    <xf numFmtId="0" fontId="0" fillId="0" borderId="81" xfId="4" applyFont="1" applyBorder="1"/>
    <xf numFmtId="0" fontId="47" fillId="0" borderId="53" xfId="4" applyBorder="1"/>
    <xf numFmtId="0" fontId="0" fillId="0" borderId="53" xfId="4" applyFont="1" applyBorder="1"/>
    <xf numFmtId="0" fontId="47" fillId="0" borderId="32" xfId="4" applyBorder="1"/>
    <xf numFmtId="4" fontId="2" fillId="0" borderId="32" xfId="4" applyNumberFormat="1" applyFont="1" applyBorder="1"/>
    <xf numFmtId="0" fontId="47" fillId="0" borderId="82" xfId="4" applyBorder="1"/>
    <xf numFmtId="49" fontId="32" fillId="0" borderId="28" xfId="0" applyNumberFormat="1" applyFont="1" applyBorder="1" applyAlignment="1">
      <alignment vertical="top" wrapText="1"/>
    </xf>
    <xf numFmtId="49" fontId="32" fillId="0" borderId="31" xfId="0" applyNumberFormat="1" applyFont="1" applyBorder="1" applyAlignment="1">
      <alignment vertical="top" wrapText="1"/>
    </xf>
    <xf numFmtId="49" fontId="32" fillId="0" borderId="1" xfId="0" applyNumberFormat="1" applyFont="1" applyBorder="1" applyAlignment="1">
      <alignment vertical="top" wrapText="1"/>
    </xf>
    <xf numFmtId="49" fontId="34" fillId="0" borderId="2" xfId="0" applyNumberFormat="1" applyFont="1" applyBorder="1" applyAlignment="1">
      <alignment horizontal="left" vertical="top" wrapText="1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35" fillId="0" borderId="0" xfId="0" applyFont="1" applyBorder="1"/>
    <xf numFmtId="0" fontId="31" fillId="0" borderId="0" xfId="0" applyFont="1" applyBorder="1" applyAlignment="1">
      <alignment vertical="center"/>
    </xf>
    <xf numFmtId="0" fontId="0" fillId="0" borderId="5" xfId="0" applyBorder="1" applyAlignment="1">
      <alignment vertical="center"/>
    </xf>
    <xf numFmtId="2" fontId="0" fillId="0" borderId="0" xfId="0" applyNumberFormat="1" applyAlignment="1">
      <alignment vertical="center"/>
    </xf>
    <xf numFmtId="0" fontId="2" fillId="0" borderId="9" xfId="4" applyFont="1" applyBorder="1" applyAlignment="1">
      <alignment horizontal="center" vertical="center"/>
    </xf>
    <xf numFmtId="0" fontId="2" fillId="0" borderId="9" xfId="4" applyFont="1" applyBorder="1" applyAlignment="1">
      <alignment vertical="center"/>
    </xf>
    <xf numFmtId="0" fontId="0" fillId="0" borderId="9" xfId="4" applyFont="1" applyBorder="1" applyAlignment="1">
      <alignment horizontal="center" vertical="center"/>
    </xf>
    <xf numFmtId="0" fontId="0" fillId="0" borderId="9" xfId="4" applyFont="1" applyBorder="1" applyAlignment="1">
      <alignment horizontal="left" vertical="center" wrapText="1"/>
    </xf>
    <xf numFmtId="170" fontId="0" fillId="8" borderId="9" xfId="1" applyFont="1" applyFill="1" applyBorder="1" applyAlignment="1">
      <alignment horizontal="right" vertical="center" wrapText="1"/>
    </xf>
    <xf numFmtId="4" fontId="0" fillId="8" borderId="9" xfId="4" applyNumberFormat="1" applyFont="1" applyFill="1" applyBorder="1" applyAlignment="1">
      <alignment horizontal="right" vertical="center"/>
    </xf>
    <xf numFmtId="0" fontId="0" fillId="0" borderId="0" xfId="4" applyFont="1"/>
    <xf numFmtId="49" fontId="32" fillId="0" borderId="4" xfId="0" applyNumberFormat="1" applyFont="1" applyBorder="1" applyAlignment="1">
      <alignment vertical="top" wrapText="1"/>
    </xf>
    <xf numFmtId="49" fontId="15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170" fontId="16" fillId="8" borderId="9" xfId="1" applyFont="1" applyFill="1" applyBorder="1" applyAlignment="1">
      <alignment horizontal="center"/>
    </xf>
    <xf numFmtId="43" fontId="16" fillId="0" borderId="9" xfId="1" applyNumberFormat="1" applyFont="1" applyBorder="1" applyAlignment="1">
      <alignment horizontal="center" vertical="center"/>
    </xf>
    <xf numFmtId="43" fontId="0" fillId="0" borderId="0" xfId="0" applyNumberFormat="1"/>
    <xf numFmtId="0" fontId="1" fillId="0" borderId="9" xfId="0" applyFont="1" applyBorder="1" applyAlignment="1">
      <alignment horizontal="left" vertical="center"/>
    </xf>
    <xf numFmtId="170" fontId="0" fillId="0" borderId="9" xfId="1" applyFont="1" applyBorder="1" applyAlignment="1">
      <alignment horizontal="center"/>
    </xf>
    <xf numFmtId="10" fontId="1" fillId="4" borderId="9" xfId="2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43" fontId="16" fillId="0" borderId="25" xfId="1" applyNumberFormat="1" applyFont="1" applyBorder="1" applyAlignment="1">
      <alignment horizontal="center" vertical="center"/>
    </xf>
    <xf numFmtId="43" fontId="16" fillId="0" borderId="41" xfId="1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170" fontId="0" fillId="8" borderId="13" xfId="1" applyFont="1" applyFill="1" applyBorder="1" applyAlignment="1"/>
    <xf numFmtId="49" fontId="1" fillId="0" borderId="9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left" vertical="center"/>
    </xf>
    <xf numFmtId="43" fontId="1" fillId="0" borderId="9" xfId="0" applyNumberFormat="1" applyFont="1" applyBorder="1" applyAlignment="1">
      <alignment horizontal="center"/>
    </xf>
    <xf numFmtId="43" fontId="1" fillId="0" borderId="9" xfId="0" applyNumberFormat="1" applyFont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1" fillId="0" borderId="9" xfId="0" applyFont="1" applyBorder="1"/>
    <xf numFmtId="10" fontId="0" fillId="0" borderId="0" xfId="0" applyNumberFormat="1"/>
    <xf numFmtId="43" fontId="16" fillId="0" borderId="9" xfId="0" applyNumberFormat="1" applyFont="1" applyBorder="1" applyAlignment="1">
      <alignment horizontal="center"/>
    </xf>
    <xf numFmtId="0" fontId="0" fillId="7" borderId="0" xfId="4" applyFont="1" applyFill="1"/>
    <xf numFmtId="4" fontId="0" fillId="0" borderId="0" xfId="4" applyNumberFormat="1" applyFont="1"/>
    <xf numFmtId="164" fontId="0" fillId="0" borderId="0" xfId="4" applyNumberFormat="1" applyFont="1"/>
    <xf numFmtId="164" fontId="0" fillId="0" borderId="0" xfId="4" applyNumberFormat="1" applyFont="1" applyAlignment="1">
      <alignment horizontal="right"/>
    </xf>
    <xf numFmtId="49" fontId="32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164" fontId="0" fillId="0" borderId="0" xfId="0" applyNumberForma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top"/>
    </xf>
    <xf numFmtId="10" fontId="2" fillId="0" borderId="0" xfId="0" applyNumberFormat="1" applyFont="1" applyBorder="1" applyAlignment="1">
      <alignment horizontal="left" wrapText="1"/>
    </xf>
    <xf numFmtId="0" fontId="1" fillId="0" borderId="0" xfId="4" applyNumberFormat="1" applyFont="1" applyBorder="1" applyAlignment="1">
      <alignment horizontal="justify" vertical="center" wrapText="1"/>
    </xf>
    <xf numFmtId="164" fontId="1" fillId="0" borderId="0" xfId="4" applyNumberFormat="1" applyFont="1" applyBorder="1" applyAlignment="1">
      <alignment horizontal="justify" vertical="center" wrapText="1"/>
    </xf>
    <xf numFmtId="0" fontId="2" fillId="14" borderId="33" xfId="4" applyFont="1" applyFill="1" applyBorder="1" applyAlignment="1">
      <alignment horizontal="center" vertical="center" wrapText="1"/>
    </xf>
    <xf numFmtId="0" fontId="2" fillId="14" borderId="25" xfId="4" applyFont="1" applyFill="1" applyBorder="1" applyAlignment="1">
      <alignment horizontal="center" vertical="center" wrapText="1"/>
    </xf>
    <xf numFmtId="0" fontId="2" fillId="14" borderId="25" xfId="4" applyFont="1" applyFill="1" applyBorder="1" applyAlignment="1">
      <alignment vertical="center" wrapText="1"/>
    </xf>
    <xf numFmtId="0" fontId="2" fillId="14" borderId="9" xfId="4" applyFont="1" applyFill="1" applyBorder="1" applyAlignment="1">
      <alignment horizontal="center" vertical="center" wrapText="1"/>
    </xf>
    <xf numFmtId="4" fontId="2" fillId="14" borderId="9" xfId="4" applyNumberFormat="1" applyFont="1" applyFill="1" applyBorder="1" applyAlignment="1">
      <alignment horizontal="center" vertical="center" wrapText="1"/>
    </xf>
    <xf numFmtId="164" fontId="2" fillId="14" borderId="9" xfId="4" applyNumberFormat="1" applyFont="1" applyFill="1" applyBorder="1" applyAlignment="1">
      <alignment horizontal="center" vertical="center" wrapText="1"/>
    </xf>
    <xf numFmtId="0" fontId="2" fillId="7" borderId="33" xfId="4" applyFont="1" applyFill="1" applyBorder="1" applyAlignment="1">
      <alignment horizontal="center" vertical="center"/>
    </xf>
    <xf numFmtId="0" fontId="2" fillId="7" borderId="26" xfId="4" applyFont="1" applyFill="1" applyBorder="1" applyAlignment="1">
      <alignment vertical="center"/>
    </xf>
    <xf numFmtId="0" fontId="2" fillId="7" borderId="25" xfId="4" applyFont="1" applyFill="1" applyBorder="1" applyAlignment="1">
      <alignment vertical="center"/>
    </xf>
    <xf numFmtId="164" fontId="0" fillId="7" borderId="9" xfId="4" applyNumberFormat="1" applyFont="1" applyFill="1" applyBorder="1" applyAlignment="1">
      <alignment horizontal="center" vertical="center"/>
    </xf>
    <xf numFmtId="0" fontId="0" fillId="0" borderId="33" xfId="4" applyFont="1" applyBorder="1" applyAlignment="1">
      <alignment horizontal="center" vertical="center"/>
    </xf>
    <xf numFmtId="0" fontId="0" fillId="0" borderId="27" xfId="4" applyFont="1" applyBorder="1" applyAlignment="1">
      <alignment horizontal="center" vertical="center"/>
    </xf>
    <xf numFmtId="0" fontId="39" fillId="8" borderId="9" xfId="4" applyFont="1" applyFill="1" applyBorder="1" applyAlignment="1">
      <alignment horizontal="center" vertical="center"/>
    </xf>
    <xf numFmtId="10" fontId="0" fillId="8" borderId="9" xfId="1" applyNumberFormat="1" applyFont="1" applyFill="1" applyBorder="1" applyAlignment="1">
      <alignment horizontal="center" vertical="center"/>
    </xf>
    <xf numFmtId="164" fontId="0" fillId="8" borderId="9" xfId="4" applyNumberFormat="1" applyFont="1" applyFill="1" applyBorder="1" applyAlignment="1">
      <alignment horizontal="right" vertical="center"/>
    </xf>
    <xf numFmtId="170" fontId="0" fillId="8" borderId="9" xfId="1" applyFont="1" applyFill="1" applyBorder="1" applyAlignment="1">
      <alignment horizontal="center" vertical="center"/>
    </xf>
    <xf numFmtId="0" fontId="2" fillId="7" borderId="27" xfId="4" applyFont="1" applyFill="1" applyBorder="1" applyAlignment="1">
      <alignment horizontal="center" vertical="center"/>
    </xf>
    <xf numFmtId="0" fontId="0" fillId="0" borderId="9" xfId="4" applyFont="1" applyBorder="1" applyAlignment="1">
      <alignment horizontal="left" vertical="center"/>
    </xf>
    <xf numFmtId="0" fontId="40" fillId="8" borderId="31" xfId="4" applyFont="1" applyFill="1" applyBorder="1" applyAlignment="1">
      <alignment horizontal="center" vertical="center"/>
    </xf>
    <xf numFmtId="0" fontId="40" fillId="8" borderId="0" xfId="4" applyFont="1" applyFill="1" applyBorder="1" applyAlignment="1">
      <alignment horizontal="center" vertical="center"/>
    </xf>
    <xf numFmtId="0" fontId="40" fillId="8" borderId="2" xfId="4" applyFont="1" applyFill="1" applyBorder="1" applyAlignment="1">
      <alignment horizontal="center" vertical="center"/>
    </xf>
    <xf numFmtId="164" fontId="40" fillId="8" borderId="2" xfId="4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164" fontId="2" fillId="0" borderId="0" xfId="0" applyNumberFormat="1" applyFont="1" applyBorder="1" applyAlignment="1">
      <alignment wrapText="1"/>
    </xf>
    <xf numFmtId="10" fontId="42" fillId="0" borderId="9" xfId="2" applyNumberFormat="1" applyFont="1" applyBorder="1" applyAlignment="1">
      <alignment horizontal="center" vertical="center"/>
    </xf>
    <xf numFmtId="164" fontId="2" fillId="14" borderId="25" xfId="4" applyNumberFormat="1" applyFont="1" applyFill="1" applyBorder="1" applyAlignment="1">
      <alignment horizontal="center" vertical="center" wrapText="1"/>
    </xf>
    <xf numFmtId="164" fontId="0" fillId="0" borderId="25" xfId="4" applyNumberFormat="1" applyFont="1" applyBorder="1" applyAlignment="1">
      <alignment horizontal="right" vertical="center"/>
    </xf>
    <xf numFmtId="164" fontId="0" fillId="0" borderId="9" xfId="4" applyNumberFormat="1" applyFont="1" applyBorder="1" applyAlignment="1">
      <alignment horizontal="right" vertical="center"/>
    </xf>
    <xf numFmtId="10" fontId="0" fillId="0" borderId="0" xfId="4" applyNumberFormat="1" applyFont="1"/>
    <xf numFmtId="164" fontId="0" fillId="0" borderId="41" xfId="4" applyNumberFormat="1" applyFont="1" applyBorder="1" applyAlignment="1">
      <alignment horizontal="right" vertical="center"/>
    </xf>
    <xf numFmtId="164" fontId="43" fillId="4" borderId="25" xfId="4" applyNumberFormat="1" applyFont="1" applyFill="1" applyBorder="1" applyAlignment="1">
      <alignment horizontal="right" vertical="center"/>
    </xf>
    <xf numFmtId="164" fontId="43" fillId="4" borderId="9" xfId="4" applyNumberFormat="1" applyFont="1" applyFill="1" applyBorder="1" applyAlignment="1">
      <alignment horizontal="right" vertical="center"/>
    </xf>
    <xf numFmtId="10" fontId="0" fillId="7" borderId="0" xfId="4" applyNumberFormat="1" applyFont="1" applyFill="1"/>
    <xf numFmtId="164" fontId="0" fillId="0" borderId="9" xfId="4" applyNumberFormat="1" applyFont="1" applyBorder="1"/>
    <xf numFmtId="164" fontId="35" fillId="15" borderId="63" xfId="4" applyNumberFormat="1" applyFont="1" applyFill="1" applyBorder="1" applyAlignment="1">
      <alignment horizontal="right" vertical="center"/>
    </xf>
    <xf numFmtId="164" fontId="35" fillId="15" borderId="9" xfId="4" applyNumberFormat="1" applyFont="1" applyFill="1" applyBorder="1" applyAlignment="1">
      <alignment horizontal="right" vertical="center"/>
    </xf>
    <xf numFmtId="0" fontId="0" fillId="0" borderId="33" xfId="4" applyFont="1" applyBorder="1" applyAlignment="1">
      <alignment horizontal="center" vertical="center"/>
    </xf>
    <xf numFmtId="172" fontId="6" fillId="8" borderId="16" xfId="5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10" fontId="48" fillId="9" borderId="41" xfId="12" applyNumberFormat="1" applyFont="1" applyFill="1" applyBorder="1" applyAlignment="1" applyProtection="1">
      <alignment horizontal="center" vertical="center"/>
      <protection locked="0"/>
    </xf>
    <xf numFmtId="49" fontId="38" fillId="0" borderId="0" xfId="0" applyNumberFormat="1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35" fillId="0" borderId="26" xfId="4" applyFont="1" applyBorder="1" applyAlignment="1">
      <alignment horizontal="center" vertical="center"/>
    </xf>
    <xf numFmtId="0" fontId="0" fillId="7" borderId="25" xfId="4" applyFont="1" applyFill="1" applyBorder="1" applyAlignment="1">
      <alignment horizontal="center" vertical="center"/>
    </xf>
    <xf numFmtId="0" fontId="0" fillId="7" borderId="26" xfId="4" applyFont="1" applyFill="1" applyBorder="1" applyAlignment="1">
      <alignment horizontal="center" vertical="center"/>
    </xf>
    <xf numFmtId="0" fontId="0" fillId="0" borderId="33" xfId="4" applyFont="1" applyBorder="1" applyAlignment="1">
      <alignment horizontal="center" vertical="center"/>
    </xf>
    <xf numFmtId="0" fontId="0" fillId="0" borderId="9" xfId="4" applyFont="1" applyBorder="1" applyAlignment="1">
      <alignment horizontal="center" vertical="center"/>
    </xf>
    <xf numFmtId="4" fontId="3" fillId="0" borderId="9" xfId="4" applyNumberFormat="1" applyFont="1" applyFill="1" applyBorder="1" applyAlignment="1">
      <alignment horizontal="center" vertical="center"/>
    </xf>
    <xf numFmtId="0" fontId="40" fillId="0" borderId="35" xfId="4" applyFont="1" applyBorder="1" applyAlignment="1">
      <alignment horizontal="center" vertical="center"/>
    </xf>
    <xf numFmtId="0" fontId="40" fillId="0" borderId="2" xfId="4" applyFont="1" applyBorder="1" applyAlignment="1">
      <alignment horizontal="center" vertical="center"/>
    </xf>
    <xf numFmtId="0" fontId="0" fillId="0" borderId="81" xfId="4" applyFont="1" applyBorder="1" applyAlignment="1">
      <alignment horizontal="center" vertical="center"/>
    </xf>
    <xf numFmtId="0" fontId="0" fillId="0" borderId="53" xfId="4" applyFont="1" applyBorder="1" applyAlignment="1">
      <alignment horizontal="center" vertical="center"/>
    </xf>
    <xf numFmtId="49" fontId="34" fillId="0" borderId="0" xfId="0" applyNumberFormat="1" applyFont="1" applyBorder="1" applyAlignment="1">
      <alignment horizontal="center" vertical="top" wrapText="1"/>
    </xf>
    <xf numFmtId="0" fontId="2" fillId="0" borderId="4" xfId="4" applyFont="1" applyBorder="1" applyAlignment="1">
      <alignment horizontal="center" vertical="top" wrapText="1"/>
    </xf>
    <xf numFmtId="0" fontId="2" fillId="0" borderId="0" xfId="4" applyFont="1" applyBorder="1" applyAlignment="1">
      <alignment horizontal="center" vertical="top" wrapText="1"/>
    </xf>
    <xf numFmtId="0" fontId="14" fillId="13" borderId="4" xfId="0" applyFont="1" applyFill="1" applyBorder="1" applyAlignment="1">
      <alignment horizontal="center" vertical="center"/>
    </xf>
    <xf numFmtId="0" fontId="14" fillId="13" borderId="0" xfId="0" applyFont="1" applyFill="1" applyBorder="1" applyAlignment="1">
      <alignment horizontal="center" vertical="center"/>
    </xf>
    <xf numFmtId="0" fontId="1" fillId="13" borderId="9" xfId="0" applyFont="1" applyFill="1" applyBorder="1" applyAlignment="1">
      <alignment horizontal="center" vertical="center"/>
    </xf>
    <xf numFmtId="43" fontId="1" fillId="0" borderId="13" xfId="0" applyNumberFormat="1" applyFont="1" applyBorder="1" applyAlignment="1">
      <alignment horizontal="center"/>
    </xf>
    <xf numFmtId="43" fontId="1" fillId="0" borderId="16" xfId="0" applyNumberFormat="1" applyFont="1" applyBorder="1" applyAlignment="1">
      <alignment horizontal="center"/>
    </xf>
    <xf numFmtId="43" fontId="1" fillId="0" borderId="14" xfId="0" applyNumberFormat="1" applyFont="1" applyBorder="1" applyAlignment="1">
      <alignment horizontal="center"/>
    </xf>
    <xf numFmtId="49" fontId="33" fillId="0" borderId="29" xfId="0" applyNumberFormat="1" applyFont="1" applyBorder="1" applyAlignment="1">
      <alignment horizontal="center" vertical="top" wrapText="1"/>
    </xf>
    <xf numFmtId="49" fontId="33" fillId="0" borderId="30" xfId="0" applyNumberFormat="1" applyFont="1" applyBorder="1" applyAlignment="1">
      <alignment horizontal="center" vertical="top" wrapText="1"/>
    </xf>
    <xf numFmtId="49" fontId="33" fillId="0" borderId="0" xfId="0" applyNumberFormat="1" applyFont="1" applyBorder="1" applyAlignment="1">
      <alignment horizontal="center" vertical="top" wrapText="1"/>
    </xf>
    <xf numFmtId="49" fontId="33" fillId="0" borderId="32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6" fillId="9" borderId="93" xfId="4" applyFont="1" applyFill="1" applyBorder="1" applyAlignment="1">
      <alignment horizontal="center" vertical="center"/>
    </xf>
    <xf numFmtId="0" fontId="0" fillId="0" borderId="9" xfId="4" applyFont="1" applyFill="1" applyBorder="1" applyAlignment="1">
      <alignment horizontal="center" vertical="center"/>
    </xf>
    <xf numFmtId="0" fontId="37" fillId="9" borderId="9" xfId="4" applyFont="1" applyFill="1" applyBorder="1" applyAlignment="1">
      <alignment horizontal="center" vertical="center"/>
    </xf>
    <xf numFmtId="0" fontId="2" fillId="0" borderId="93" xfId="0" applyFont="1" applyBorder="1" applyAlignment="1">
      <alignment horizontal="left" vertical="center"/>
    </xf>
    <xf numFmtId="0" fontId="14" fillId="0" borderId="31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4" fontId="1" fillId="0" borderId="54" xfId="4" applyNumberFormat="1" applyFont="1" applyBorder="1" applyAlignment="1">
      <alignment horizontal="center" vertical="center"/>
    </xf>
    <xf numFmtId="4" fontId="1" fillId="0" borderId="56" xfId="4" applyNumberFormat="1" applyFont="1" applyBorder="1" applyAlignment="1">
      <alignment horizontal="center" vertical="center"/>
    </xf>
    <xf numFmtId="0" fontId="27" fillId="0" borderId="31" xfId="4" applyFont="1" applyBorder="1" applyAlignment="1">
      <alignment horizontal="center" vertical="center" wrapText="1"/>
    </xf>
    <xf numFmtId="0" fontId="27" fillId="0" borderId="0" xfId="4" applyFont="1" applyBorder="1" applyAlignment="1">
      <alignment horizontal="center" vertical="center" wrapText="1"/>
    </xf>
    <xf numFmtId="0" fontId="27" fillId="0" borderId="32" xfId="4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wrapText="1"/>
    </xf>
    <xf numFmtId="164" fontId="38" fillId="0" borderId="0" xfId="0" applyNumberFormat="1" applyFont="1" applyBorder="1" applyAlignment="1">
      <alignment horizontal="left" vertical="top" wrapText="1"/>
    </xf>
    <xf numFmtId="164" fontId="2" fillId="0" borderId="9" xfId="0" applyNumberFormat="1" applyFont="1" applyBorder="1" applyAlignment="1">
      <alignment horizontal="center" vertical="center" wrapText="1"/>
    </xf>
    <xf numFmtId="164" fontId="35" fillId="0" borderId="26" xfId="4" applyNumberFormat="1" applyFont="1" applyBorder="1" applyAlignment="1">
      <alignment horizontal="center" vertical="center"/>
    </xf>
    <xf numFmtId="0" fontId="0" fillId="0" borderId="27" xfId="4" applyFont="1" applyBorder="1" applyAlignment="1">
      <alignment horizontal="center" vertical="center"/>
    </xf>
    <xf numFmtId="164" fontId="3" fillId="0" borderId="9" xfId="4" applyNumberFormat="1" applyFont="1" applyFill="1" applyBorder="1" applyAlignment="1">
      <alignment horizontal="center" vertical="center"/>
    </xf>
    <xf numFmtId="0" fontId="0" fillId="0" borderId="74" xfId="4" applyFont="1" applyBorder="1" applyAlignment="1">
      <alignment horizontal="center" vertical="center"/>
    </xf>
    <xf numFmtId="4" fontId="1" fillId="0" borderId="49" xfId="4" applyNumberFormat="1" applyFont="1" applyBorder="1" applyAlignment="1">
      <alignment horizontal="center" vertical="center"/>
    </xf>
    <xf numFmtId="164" fontId="1" fillId="0" borderId="49" xfId="4" applyNumberFormat="1" applyFont="1" applyBorder="1" applyAlignment="1">
      <alignment horizontal="center" vertical="center"/>
    </xf>
    <xf numFmtId="0" fontId="40" fillId="0" borderId="3" xfId="4" applyFont="1" applyBorder="1" applyAlignment="1">
      <alignment horizontal="center" vertical="center"/>
    </xf>
    <xf numFmtId="0" fontId="0" fillId="7" borderId="9" xfId="4" applyFont="1" applyFill="1" applyBorder="1" applyAlignment="1">
      <alignment horizontal="center" vertical="center"/>
    </xf>
    <xf numFmtId="0" fontId="40" fillId="7" borderId="25" xfId="4" applyFont="1" applyFill="1" applyBorder="1" applyAlignment="1">
      <alignment horizontal="center" vertical="center"/>
    </xf>
    <xf numFmtId="0" fontId="40" fillId="7" borderId="26" xfId="4" applyFont="1" applyFill="1" applyBorder="1" applyAlignment="1">
      <alignment horizontal="center" vertical="center"/>
    </xf>
    <xf numFmtId="0" fontId="35" fillId="0" borderId="25" xfId="4" applyFont="1" applyBorder="1" applyAlignment="1">
      <alignment horizontal="center" vertical="center"/>
    </xf>
    <xf numFmtId="164" fontId="0" fillId="7" borderId="9" xfId="4" applyNumberFormat="1" applyFont="1" applyFill="1" applyBorder="1" applyAlignment="1">
      <alignment horizontal="center" vertical="center"/>
    </xf>
    <xf numFmtId="164" fontId="0" fillId="7" borderId="25" xfId="4" applyNumberFormat="1" applyFont="1" applyFill="1" applyBorder="1" applyAlignment="1">
      <alignment horizontal="center" vertical="center"/>
    </xf>
    <xf numFmtId="164" fontId="41" fillId="0" borderId="9" xfId="0" applyNumberFormat="1" applyFont="1" applyBorder="1" applyAlignment="1">
      <alignment horizontal="center" vertical="center" wrapText="1"/>
    </xf>
    <xf numFmtId="0" fontId="40" fillId="7" borderId="27" xfId="4" applyFont="1" applyFill="1" applyBorder="1" applyAlignment="1">
      <alignment horizontal="center" vertical="center"/>
    </xf>
    <xf numFmtId="0" fontId="0" fillId="7" borderId="27" xfId="4" applyFont="1" applyFill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5" fillId="0" borderId="25" xfId="4" applyFont="1" applyBorder="1" applyAlignment="1">
      <alignment horizontal="right" vertical="center"/>
    </xf>
    <xf numFmtId="0" fontId="25" fillId="0" borderId="26" xfId="4" applyFont="1" applyBorder="1" applyAlignment="1">
      <alignment horizontal="right" vertical="center"/>
    </xf>
    <xf numFmtId="0" fontId="25" fillId="0" borderId="27" xfId="4" applyFont="1" applyBorder="1" applyAlignment="1">
      <alignment horizontal="right" vertical="center"/>
    </xf>
    <xf numFmtId="10" fontId="25" fillId="0" borderId="25" xfId="4" applyNumberFormat="1" applyFont="1" applyBorder="1" applyAlignment="1">
      <alignment horizontal="right" vertical="center"/>
    </xf>
    <xf numFmtId="0" fontId="0" fillId="0" borderId="51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29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1" fillId="0" borderId="3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/>
    </xf>
    <xf numFmtId="10" fontId="3" fillId="0" borderId="4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8" fillId="0" borderId="18" xfId="4" applyFont="1" applyBorder="1" applyAlignment="1">
      <alignment horizontal="right" vertical="center"/>
    </xf>
    <xf numFmtId="0" fontId="8" fillId="0" borderId="19" xfId="4" applyFont="1" applyBorder="1" applyAlignment="1">
      <alignment horizontal="right" vertical="center"/>
    </xf>
    <xf numFmtId="0" fontId="8" fillId="4" borderId="26" xfId="9" applyFont="1" applyFill="1" applyBorder="1" applyAlignment="1">
      <alignment horizontal="right" vertical="center"/>
    </xf>
    <xf numFmtId="0" fontId="8" fillId="4" borderId="27" xfId="9" applyFont="1" applyFill="1" applyBorder="1" applyAlignment="1">
      <alignment horizontal="right" vertical="center"/>
    </xf>
    <xf numFmtId="0" fontId="4" fillId="2" borderId="13" xfId="13" applyFont="1" applyFill="1" applyBorder="1" applyAlignment="1">
      <alignment horizontal="center" vertical="center" wrapText="1"/>
    </xf>
    <xf numFmtId="0" fontId="4" fillId="2" borderId="14" xfId="13" applyFont="1" applyFill="1" applyBorder="1" applyAlignment="1">
      <alignment horizontal="center" vertical="center" wrapText="1"/>
    </xf>
    <xf numFmtId="172" fontId="4" fillId="2" borderId="13" xfId="5" applyNumberFormat="1" applyFont="1" applyFill="1" applyBorder="1" applyAlignment="1">
      <alignment horizontal="center" vertical="center" wrapText="1"/>
    </xf>
    <xf numFmtId="172" fontId="4" fillId="2" borderId="14" xfId="5" applyNumberFormat="1" applyFont="1" applyFill="1" applyBorder="1" applyAlignment="1">
      <alignment horizontal="center" vertical="center" wrapText="1"/>
    </xf>
    <xf numFmtId="0" fontId="8" fillId="4" borderId="92" xfId="9" applyFont="1" applyFill="1" applyBorder="1" applyAlignment="1">
      <alignment horizontal="right" vertical="center"/>
    </xf>
    <xf numFmtId="0" fontId="8" fillId="4" borderId="64" xfId="9" applyFont="1" applyFill="1" applyBorder="1" applyAlignment="1">
      <alignment horizontal="right" vertical="center"/>
    </xf>
    <xf numFmtId="0" fontId="4" fillId="2" borderId="72" xfId="13" applyFont="1" applyFill="1" applyBorder="1" applyAlignment="1">
      <alignment horizontal="center" vertical="center" wrapText="1"/>
    </xf>
    <xf numFmtId="0" fontId="4" fillId="2" borderId="76" xfId="13" applyFont="1" applyFill="1" applyBorder="1" applyAlignment="1">
      <alignment horizontal="center" vertical="center" wrapText="1"/>
    </xf>
    <xf numFmtId="0" fontId="4" fillId="2" borderId="14" xfId="13" applyFont="1" applyFill="1" applyBorder="1" applyAlignment="1">
      <alignment horizontal="justify" vertical="center" wrapText="1"/>
    </xf>
    <xf numFmtId="0" fontId="4" fillId="2" borderId="13" xfId="13" applyFont="1" applyFill="1" applyBorder="1" applyAlignment="1">
      <alignment horizontal="justify" vertical="center" wrapText="1"/>
    </xf>
    <xf numFmtId="172" fontId="4" fillId="2" borderId="75" xfId="5" applyNumberFormat="1" applyFont="1" applyFill="1" applyBorder="1" applyAlignment="1">
      <alignment horizontal="center" vertical="center" wrapText="1"/>
    </xf>
    <xf numFmtId="172" fontId="4" fillId="2" borderId="77" xfId="5" applyNumberFormat="1" applyFont="1" applyFill="1" applyBorder="1" applyAlignment="1">
      <alignment horizontal="center" vertical="center" wrapText="1"/>
    </xf>
    <xf numFmtId="0" fontId="50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6" fillId="0" borderId="53" xfId="0" applyFont="1" applyBorder="1" applyAlignment="1">
      <alignment horizontal="left" vertical="center" wrapText="1"/>
    </xf>
    <xf numFmtId="0" fontId="16" fillId="0" borderId="82" xfId="0" applyFont="1" applyBorder="1" applyAlignment="1">
      <alignment horizontal="left" vertical="center" wrapText="1"/>
    </xf>
    <xf numFmtId="49" fontId="3" fillId="7" borderId="54" xfId="11" applyNumberFormat="1" applyFont="1" applyFill="1" applyBorder="1" applyAlignment="1">
      <alignment horizontal="center" vertical="center"/>
    </xf>
    <xf numFmtId="49" fontId="3" fillId="7" borderId="55" xfId="11" applyNumberFormat="1" applyFont="1" applyFill="1" applyBorder="1" applyAlignment="1">
      <alignment horizontal="center" vertical="center"/>
    </xf>
    <xf numFmtId="49" fontId="3" fillId="7" borderId="56" xfId="1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49" fillId="7" borderId="54" xfId="11" applyNumberFormat="1" applyFont="1" applyFill="1" applyBorder="1" applyAlignment="1">
      <alignment horizontal="center" vertical="center"/>
    </xf>
    <xf numFmtId="0" fontId="13" fillId="8" borderId="63" xfId="11" applyFont="1" applyFill="1" applyBorder="1" applyAlignment="1">
      <alignment horizontal="center" vertical="center"/>
    </xf>
    <xf numFmtId="0" fontId="13" fillId="8" borderId="64" xfId="11" applyFont="1" applyFill="1" applyBorder="1" applyAlignment="1">
      <alignment horizontal="center" vertical="center"/>
    </xf>
    <xf numFmtId="0" fontId="0" fillId="0" borderId="54" xfId="11" applyFont="1" applyBorder="1" applyAlignment="1">
      <alignment vertical="center"/>
    </xf>
    <xf numFmtId="0" fontId="0" fillId="0" borderId="55" xfId="11" applyFont="1" applyBorder="1" applyAlignment="1">
      <alignment vertical="center"/>
    </xf>
    <xf numFmtId="0" fontId="2" fillId="0" borderId="66" xfId="11" applyFont="1" applyFill="1" applyBorder="1" applyAlignment="1">
      <alignment horizontal="justify" vertical="center" wrapText="1"/>
    </xf>
    <xf numFmtId="0" fontId="2" fillId="0" borderId="67" xfId="11" applyFont="1" applyFill="1" applyBorder="1" applyAlignment="1">
      <alignment horizontal="justify" vertical="center" wrapText="1"/>
    </xf>
    <xf numFmtId="0" fontId="18" fillId="0" borderId="66" xfId="11" applyFont="1" applyBorder="1" applyAlignment="1">
      <alignment horizontal="center"/>
    </xf>
    <xf numFmtId="0" fontId="18" fillId="0" borderId="68" xfId="11" applyFont="1" applyBorder="1" applyAlignment="1">
      <alignment horizontal="center"/>
    </xf>
    <xf numFmtId="10" fontId="0" fillId="0" borderId="25" xfId="12" applyNumberFormat="1" applyFont="1" applyBorder="1" applyAlignment="1">
      <alignment horizontal="center" vertical="center"/>
    </xf>
    <xf numFmtId="10" fontId="0" fillId="0" borderId="27" xfId="12" applyNumberFormat="1" applyFont="1" applyBorder="1" applyAlignment="1">
      <alignment horizontal="center" vertical="center"/>
    </xf>
    <xf numFmtId="0" fontId="2" fillId="0" borderId="69" xfId="11" applyFont="1" applyFill="1" applyBorder="1" applyAlignment="1">
      <alignment horizontal="right" vertical="center"/>
    </xf>
    <xf numFmtId="0" fontId="2" fillId="0" borderId="64" xfId="11" applyFont="1" applyFill="1" applyBorder="1" applyAlignment="1">
      <alignment horizontal="right" vertical="center"/>
    </xf>
    <xf numFmtId="10" fontId="0" fillId="0" borderId="63" xfId="12" applyNumberFormat="1" applyFont="1" applyBorder="1" applyAlignment="1">
      <alignment horizontal="center" vertical="center"/>
    </xf>
    <xf numFmtId="10" fontId="0" fillId="0" borderId="64" xfId="12" applyNumberFormat="1" applyFont="1" applyBorder="1" applyAlignment="1">
      <alignment horizontal="center" vertical="center"/>
    </xf>
    <xf numFmtId="0" fontId="0" fillId="0" borderId="54" xfId="11" applyFont="1" applyBorder="1" applyAlignment="1">
      <alignment horizontal="center" vertical="center"/>
    </xf>
    <xf numFmtId="0" fontId="0" fillId="0" borderId="55" xfId="11" applyFont="1" applyBorder="1" applyAlignment="1">
      <alignment horizontal="center" vertical="center"/>
    </xf>
    <xf numFmtId="10" fontId="0" fillId="0" borderId="66" xfId="12" applyNumberFormat="1" applyFont="1" applyBorder="1" applyAlignment="1">
      <alignment horizontal="center" vertical="center"/>
    </xf>
    <xf numFmtId="10" fontId="0" fillId="0" borderId="68" xfId="12" applyNumberFormat="1" applyFont="1" applyBorder="1" applyAlignment="1">
      <alignment horizontal="center" vertical="center"/>
    </xf>
    <xf numFmtId="49" fontId="13" fillId="7" borderId="70" xfId="11" applyNumberFormat="1" applyFont="1" applyFill="1" applyBorder="1" applyAlignment="1">
      <alignment horizontal="center" vertical="center" wrapText="1"/>
    </xf>
    <xf numFmtId="49" fontId="13" fillId="7" borderId="71" xfId="11" applyNumberFormat="1" applyFont="1" applyFill="1" applyBorder="1" applyAlignment="1">
      <alignment horizontal="center" vertical="center" wrapText="1"/>
    </xf>
    <xf numFmtId="49" fontId="13" fillId="7" borderId="67" xfId="11" applyNumberFormat="1" applyFont="1" applyFill="1" applyBorder="1" applyAlignment="1">
      <alignment horizontal="center" vertical="center" wrapText="1"/>
    </xf>
    <xf numFmtId="10" fontId="0" fillId="0" borderId="79" xfId="12" applyNumberFormat="1" applyFont="1" applyBorder="1" applyAlignment="1">
      <alignment horizontal="center" vertical="center"/>
    </xf>
    <xf numFmtId="10" fontId="0" fillId="0" borderId="80" xfId="12" applyNumberFormat="1" applyFont="1" applyBorder="1" applyAlignment="1">
      <alignment horizontal="center" vertical="center"/>
    </xf>
    <xf numFmtId="10" fontId="22" fillId="7" borderId="13" xfId="11" applyNumberFormat="1" applyFont="1" applyFill="1" applyBorder="1" applyAlignment="1">
      <alignment horizontal="center" vertical="center"/>
    </xf>
    <xf numFmtId="10" fontId="22" fillId="7" borderId="61" xfId="11" applyNumberFormat="1" applyFont="1" applyFill="1" applyBorder="1" applyAlignment="1">
      <alignment horizontal="center" vertical="center"/>
    </xf>
    <xf numFmtId="10" fontId="19" fillId="0" borderId="72" xfId="12" applyNumberFormat="1" applyFont="1" applyBorder="1" applyAlignment="1">
      <alignment horizontal="center" vertical="center" wrapText="1"/>
    </xf>
    <xf numFmtId="10" fontId="19" fillId="0" borderId="60" xfId="12" applyNumberFormat="1" applyFont="1" applyBorder="1" applyAlignment="1">
      <alignment horizontal="center" vertical="center" wrapText="1"/>
    </xf>
    <xf numFmtId="0" fontId="20" fillId="0" borderId="75" xfId="11" applyFont="1" applyBorder="1" applyAlignment="1">
      <alignment horizontal="center" vertical="center" wrapText="1"/>
    </xf>
    <xf numFmtId="0" fontId="20" fillId="0" borderId="62" xfId="11" applyFont="1" applyBorder="1" applyAlignment="1">
      <alignment horizontal="center" vertical="center" wrapText="1"/>
    </xf>
    <xf numFmtId="49" fontId="13" fillId="7" borderId="28" xfId="11" applyNumberFormat="1" applyFont="1" applyFill="1" applyBorder="1" applyAlignment="1">
      <alignment horizontal="center" vertical="center" wrapText="1"/>
    </xf>
    <xf numFmtId="49" fontId="13" fillId="7" borderId="29" xfId="11" applyNumberFormat="1" applyFont="1" applyFill="1" applyBorder="1" applyAlignment="1">
      <alignment horizontal="center" vertical="center" wrapText="1"/>
    </xf>
    <xf numFmtId="49" fontId="13" fillId="7" borderId="30" xfId="11" applyNumberFormat="1" applyFont="1" applyFill="1" applyBorder="1" applyAlignment="1">
      <alignment horizontal="center" vertical="center" wrapText="1"/>
    </xf>
    <xf numFmtId="49" fontId="13" fillId="7" borderId="37" xfId="11" applyNumberFormat="1" applyFont="1" applyFill="1" applyBorder="1" applyAlignment="1">
      <alignment horizontal="center" vertical="center" wrapText="1"/>
    </xf>
    <xf numFmtId="49" fontId="13" fillId="7" borderId="38" xfId="11" applyNumberFormat="1" applyFont="1" applyFill="1" applyBorder="1" applyAlignment="1">
      <alignment horizontal="center" vertical="center" wrapText="1"/>
    </xf>
    <xf numFmtId="49" fontId="13" fillId="7" borderId="39" xfId="11" applyNumberFormat="1" applyFont="1" applyFill="1" applyBorder="1" applyAlignment="1">
      <alignment horizontal="center" vertical="center" wrapText="1"/>
    </xf>
    <xf numFmtId="0" fontId="20" fillId="0" borderId="1" xfId="11" applyFont="1" applyBorder="1" applyAlignment="1">
      <alignment horizontal="center" vertical="center" wrapText="1"/>
    </xf>
    <xf numFmtId="0" fontId="20" fillId="0" borderId="3" xfId="11" applyFont="1" applyBorder="1" applyAlignment="1">
      <alignment horizontal="center" vertical="center" wrapText="1"/>
    </xf>
    <xf numFmtId="0" fontId="20" fillId="0" borderId="73" xfId="11" applyFont="1" applyBorder="1" applyAlignment="1">
      <alignment horizontal="center" vertical="center" wrapText="1"/>
    </xf>
    <xf numFmtId="0" fontId="20" fillId="0" borderId="74" xfId="11" applyFont="1" applyBorder="1" applyAlignment="1">
      <alignment horizontal="center" vertical="center" wrapText="1"/>
    </xf>
    <xf numFmtId="0" fontId="2" fillId="0" borderId="28" xfId="11" applyFont="1" applyFill="1" applyBorder="1" applyAlignment="1">
      <alignment horizontal="center" vertical="center"/>
    </xf>
    <xf numFmtId="0" fontId="2" fillId="0" borderId="29" xfId="11" applyFont="1" applyFill="1" applyBorder="1" applyAlignment="1">
      <alignment horizontal="center" vertical="center"/>
    </xf>
    <xf numFmtId="0" fontId="2" fillId="0" borderId="30" xfId="11" applyFont="1" applyFill="1" applyBorder="1" applyAlignment="1">
      <alignment horizontal="center" vertical="center"/>
    </xf>
    <xf numFmtId="0" fontId="2" fillId="0" borderId="81" xfId="11" applyFont="1" applyFill="1" applyBorder="1" applyAlignment="1">
      <alignment horizontal="center" vertical="center"/>
    </xf>
    <xf numFmtId="0" fontId="2" fillId="0" borderId="53" xfId="11" applyFont="1" applyFill="1" applyBorder="1" applyAlignment="1">
      <alignment horizontal="center" vertical="center"/>
    </xf>
    <xf numFmtId="0" fontId="2" fillId="0" borderId="82" xfId="11" applyFont="1" applyFill="1" applyBorder="1" applyAlignment="1">
      <alignment horizontal="center" vertical="center"/>
    </xf>
    <xf numFmtId="0" fontId="1" fillId="0" borderId="28" xfId="11" applyFont="1" applyBorder="1" applyAlignment="1">
      <alignment horizontal="center" vertical="center"/>
    </xf>
    <xf numFmtId="0" fontId="1" fillId="0" borderId="83" xfId="11" applyFont="1" applyBorder="1" applyAlignment="1">
      <alignment horizontal="center" vertical="center"/>
    </xf>
    <xf numFmtId="0" fontId="1" fillId="0" borderId="81" xfId="11" applyFont="1" applyBorder="1" applyAlignment="1">
      <alignment horizontal="center" vertical="center"/>
    </xf>
    <xf numFmtId="0" fontId="1" fillId="0" borderId="74" xfId="11" applyFont="1" applyBorder="1" applyAlignment="1">
      <alignment horizontal="center" vertical="center"/>
    </xf>
    <xf numFmtId="0" fontId="0" fillId="0" borderId="28" xfId="11" applyFont="1" applyFill="1" applyBorder="1" applyAlignment="1">
      <alignment horizontal="center" vertical="center"/>
    </xf>
    <xf numFmtId="0" fontId="0" fillId="0" borderId="29" xfId="11" applyFont="1" applyFill="1" applyBorder="1" applyAlignment="1">
      <alignment horizontal="center" vertical="center"/>
    </xf>
    <xf numFmtId="0" fontId="13" fillId="0" borderId="57" xfId="11" applyFont="1" applyFill="1" applyBorder="1" applyAlignment="1">
      <alignment horizontal="center" vertical="center"/>
    </xf>
    <xf numFmtId="0" fontId="13" fillId="0" borderId="60" xfId="11" applyFont="1" applyFill="1" applyBorder="1" applyAlignment="1">
      <alignment horizontal="center" vertical="center"/>
    </xf>
    <xf numFmtId="0" fontId="0" fillId="0" borderId="72" xfId="11" applyFont="1" applyBorder="1" applyAlignment="1">
      <alignment horizontal="center" vertical="center"/>
    </xf>
    <xf numFmtId="0" fontId="0" fillId="0" borderId="76" xfId="11" applyFont="1" applyBorder="1" applyAlignment="1">
      <alignment horizontal="center" vertical="center"/>
    </xf>
    <xf numFmtId="0" fontId="13" fillId="0" borderId="58" xfId="11" applyFont="1" applyFill="1" applyBorder="1" applyAlignment="1">
      <alignment horizontal="center" vertical="center"/>
    </xf>
    <xf numFmtId="0" fontId="13" fillId="0" borderId="61" xfId="11" applyFont="1" applyFill="1" applyBorder="1" applyAlignment="1">
      <alignment horizontal="center" vertical="center"/>
    </xf>
    <xf numFmtId="0" fontId="0" fillId="0" borderId="13" xfId="11" applyFont="1" applyFill="1" applyBorder="1" applyAlignment="1">
      <alignment horizontal="left" vertical="center"/>
    </xf>
    <xf numFmtId="0" fontId="0" fillId="0" borderId="14" xfId="11" applyFont="1" applyFill="1" applyBorder="1" applyAlignment="1">
      <alignment horizontal="left" vertical="center"/>
    </xf>
    <xf numFmtId="0" fontId="13" fillId="0" borderId="59" xfId="11" applyFont="1" applyFill="1" applyBorder="1" applyAlignment="1">
      <alignment horizontal="center" vertical="center"/>
    </xf>
    <xf numFmtId="0" fontId="13" fillId="0" borderId="62" xfId="11" applyFont="1" applyFill="1" applyBorder="1" applyAlignment="1">
      <alignment horizontal="center" vertical="center"/>
    </xf>
    <xf numFmtId="10" fontId="0" fillId="9" borderId="75" xfId="12" applyNumberFormat="1" applyFont="1" applyFill="1" applyBorder="1" applyAlignment="1" applyProtection="1">
      <alignment horizontal="center" vertical="center"/>
      <protection locked="0"/>
    </xf>
    <xf numFmtId="10" fontId="0" fillId="9" borderId="77" xfId="12" applyNumberFormat="1" applyFont="1" applyFill="1" applyBorder="1" applyAlignment="1" applyProtection="1">
      <alignment horizontal="center" vertical="center"/>
      <protection locked="0"/>
    </xf>
    <xf numFmtId="0" fontId="11" fillId="0" borderId="40" xfId="9" applyFont="1" applyFill="1" applyBorder="1" applyAlignment="1">
      <alignment horizontal="center"/>
    </xf>
    <xf numFmtId="0" fontId="11" fillId="0" borderId="26" xfId="9" applyFont="1" applyFill="1" applyBorder="1" applyAlignment="1">
      <alignment horizontal="center"/>
    </xf>
    <xf numFmtId="0" fontId="11" fillId="0" borderId="34" xfId="9" applyFont="1" applyFill="1" applyBorder="1" applyAlignment="1">
      <alignment horizontal="center"/>
    </xf>
    <xf numFmtId="0" fontId="12" fillId="0" borderId="48" xfId="9" applyFont="1" applyFill="1" applyBorder="1" applyAlignment="1">
      <alignment horizontal="center" vertical="center"/>
    </xf>
    <xf numFmtId="0" fontId="12" fillId="0" borderId="49" xfId="9" applyFont="1" applyFill="1" applyBorder="1" applyAlignment="1">
      <alignment horizontal="center" vertical="center"/>
    </xf>
    <xf numFmtId="0" fontId="12" fillId="0" borderId="40" xfId="9" applyFont="1" applyFill="1" applyBorder="1" applyAlignment="1">
      <alignment horizontal="center" vertical="center"/>
    </xf>
    <xf numFmtId="0" fontId="12" fillId="0" borderId="26" xfId="9" applyFont="1" applyFill="1" applyBorder="1" applyAlignment="1">
      <alignment horizontal="center" vertical="center"/>
    </xf>
    <xf numFmtId="0" fontId="12" fillId="0" borderId="34" xfId="9" applyFont="1" applyFill="1" applyBorder="1" applyAlignment="1">
      <alignment horizontal="center" vertical="center"/>
    </xf>
    <xf numFmtId="0" fontId="12" fillId="0" borderId="25" xfId="9" applyFont="1" applyFill="1" applyBorder="1" applyAlignment="1">
      <alignment horizontal="center" vertical="center"/>
    </xf>
    <xf numFmtId="0" fontId="12" fillId="0" borderId="27" xfId="9" applyFont="1" applyFill="1" applyBorder="1" applyAlignment="1">
      <alignment horizontal="center" vertical="center"/>
    </xf>
    <xf numFmtId="169" fontId="12" fillId="0" borderId="9" xfId="9" applyNumberFormat="1" applyFont="1" applyFill="1" applyBorder="1" applyAlignment="1">
      <alignment horizontal="center" vertical="center"/>
    </xf>
    <xf numFmtId="169" fontId="12" fillId="0" borderId="41" xfId="9" applyNumberFormat="1" applyFont="1" applyFill="1" applyBorder="1" applyAlignment="1">
      <alignment horizontal="center" vertical="center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0" fontId="11" fillId="0" borderId="36" xfId="7" applyFont="1" applyFill="1" applyBorder="1" applyAlignment="1">
      <alignment horizontal="center" vertical="center" wrapText="1"/>
    </xf>
    <xf numFmtId="0" fontId="11" fillId="0" borderId="37" xfId="7" applyFont="1" applyFill="1" applyBorder="1" applyAlignment="1">
      <alignment horizontal="center" vertical="center" wrapText="1"/>
    </xf>
    <xf numFmtId="0" fontId="11" fillId="0" borderId="38" xfId="7" applyFont="1" applyFill="1" applyBorder="1" applyAlignment="1">
      <alignment horizontal="center" vertical="center" wrapText="1"/>
    </xf>
    <xf numFmtId="0" fontId="11" fillId="0" borderId="39" xfId="7" applyFont="1" applyFill="1" applyBorder="1" applyAlignment="1">
      <alignment horizontal="center" vertical="center" wrapText="1"/>
    </xf>
    <xf numFmtId="0" fontId="12" fillId="0" borderId="33" xfId="9" applyFont="1" applyFill="1" applyBorder="1" applyAlignment="1">
      <alignment horizontal="center" vertical="center"/>
    </xf>
    <xf numFmtId="0" fontId="12" fillId="0" borderId="9" xfId="9" applyFont="1" applyFill="1" applyBorder="1" applyAlignment="1">
      <alignment horizontal="center" vertical="center"/>
    </xf>
  </cellXfs>
  <cellStyles count="16">
    <cellStyle name="Moeda" xfId="3" builtinId="4"/>
    <cellStyle name="Moeda 2" xfId="5"/>
    <cellStyle name="Normal" xfId="0" builtinId="0"/>
    <cellStyle name="Normal 11" xfId="7"/>
    <cellStyle name="Normal 2" xfId="4"/>
    <cellStyle name="Normal 2 2" xfId="9"/>
    <cellStyle name="Normal 3" xfId="10"/>
    <cellStyle name="Normal 6" xfId="11"/>
    <cellStyle name="Normal_Pesquisa no referencial 10 de maio de 2013" xfId="13"/>
    <cellStyle name="Porcentagem" xfId="2" builtinId="5"/>
    <cellStyle name="Porcentagem 2" xfId="14"/>
    <cellStyle name="Separador de milhares 2" xfId="8"/>
    <cellStyle name="Separador de milhares 2 2" xfId="6"/>
    <cellStyle name="Vírgula" xfId="1" builtinId="3"/>
    <cellStyle name="Vírgula 2" xfId="15"/>
    <cellStyle name="Vírgula 6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</xdr:colOff>
      <xdr:row>0</xdr:row>
      <xdr:rowOff>167640</xdr:rowOff>
    </xdr:from>
    <xdr:to>
      <xdr:col>3</xdr:col>
      <xdr:colOff>208101</xdr:colOff>
      <xdr:row>2</xdr:row>
      <xdr:rowOff>40753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635" y="167640"/>
          <a:ext cx="2409190" cy="33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1876425</xdr:colOff>
      <xdr:row>3</xdr:row>
      <xdr:rowOff>38100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47625" y="47625"/>
          <a:ext cx="24288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92075</xdr:colOff>
      <xdr:row>0</xdr:row>
      <xdr:rowOff>109855</xdr:rowOff>
    </xdr:from>
    <xdr:to>
      <xdr:col>1</xdr:col>
      <xdr:colOff>1679875</xdr:colOff>
      <xdr:row>2</xdr:row>
      <xdr:rowOff>116146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92075" y="109855"/>
          <a:ext cx="2206625" cy="4629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11682</xdr:colOff>
      <xdr:row>0</xdr:row>
      <xdr:rowOff>0</xdr:rowOff>
    </xdr:from>
    <xdr:to>
      <xdr:col>1</xdr:col>
      <xdr:colOff>1135632</xdr:colOff>
      <xdr:row>2</xdr:row>
      <xdr:rowOff>133170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1430" y="0"/>
          <a:ext cx="1733550" cy="456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44450</xdr:rowOff>
    </xdr:from>
    <xdr:to>
      <xdr:col>3</xdr:col>
      <xdr:colOff>613834</xdr:colOff>
      <xdr:row>2</xdr:row>
      <xdr:rowOff>104775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38100" y="44450"/>
          <a:ext cx="3232785" cy="3841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2</xdr:col>
      <xdr:colOff>790575</xdr:colOff>
      <xdr:row>3</xdr:row>
      <xdr:rowOff>0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9525" y="0"/>
          <a:ext cx="2552700" cy="4857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37465</xdr:colOff>
      <xdr:row>1</xdr:row>
      <xdr:rowOff>95250</xdr:rowOff>
    </xdr:from>
    <xdr:to>
      <xdr:col>2</xdr:col>
      <xdr:colOff>267335</xdr:colOff>
      <xdr:row>4</xdr:row>
      <xdr:rowOff>38100</xdr:rowOff>
    </xdr:to>
    <xdr:pic>
      <xdr:nvPicPr>
        <xdr:cNvPr id="2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7540" y="266700"/>
          <a:ext cx="263969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9525</xdr:colOff>
      <xdr:row>1</xdr:row>
      <xdr:rowOff>8890</xdr:rowOff>
    </xdr:from>
    <xdr:to>
      <xdr:col>6</xdr:col>
      <xdr:colOff>1078230</xdr:colOff>
      <xdr:row>6</xdr:row>
      <xdr:rowOff>9525</xdr:rowOff>
    </xdr:to>
    <xdr:sp macro="" textlink="">
      <xdr:nvSpPr>
        <xdr:cNvPr id="3" name="CaixaDeTexto 1"/>
        <xdr:cNvSpPr txBox="1"/>
      </xdr:nvSpPr>
      <xdr:spPr>
        <a:xfrm>
          <a:off x="609600" y="180340"/>
          <a:ext cx="7012305" cy="81026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pt-BR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t-BR" sz="1000" b="1" baseline="0"/>
            <a:t>			 </a:t>
          </a:r>
          <a:r>
            <a:rPr lang="pt-BR" sz="1000" b="1"/>
            <a:t>Ministério do Desenvolvimento Regional – MDR</a:t>
          </a:r>
        </a:p>
        <a:p>
          <a:r>
            <a:rPr lang="pt-BR" sz="1000" b="1" baseline="0"/>
            <a:t>			C</a:t>
          </a:r>
          <a:r>
            <a:rPr lang="pt-BR" sz="1000" b="1"/>
            <a:t>ompanhia de Desenvolvimento dos Vales do São Francisco e do Parnaíba </a:t>
          </a:r>
        </a:p>
        <a:p>
          <a:r>
            <a:rPr lang="pt-BR" sz="1000" b="1"/>
            <a:t>			</a:t>
          </a:r>
          <a:r>
            <a:rPr lang="pt-BR" sz="1000" b="1">
              <a:solidFill>
                <a:sysClr val="windowText" lastClr="000000"/>
              </a:solidFill>
            </a:rPr>
            <a:t>2ª GRD/UIP - 2ª Su</a:t>
          </a:r>
          <a:r>
            <a:rPr lang="pt-BR" sz="1000" b="1"/>
            <a:t>perintendência Regional </a:t>
          </a:r>
          <a:endParaRPr lang="pt-BR" altLang="en-US" sz="10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43"/>
  <sheetViews>
    <sheetView showGridLines="0" view="pageBreakPreview" topLeftCell="A19" zoomScale="85" zoomScaleNormal="100" zoomScaleSheetLayoutView="85" workbookViewId="0">
      <selection activeCell="F18" sqref="F18"/>
    </sheetView>
  </sheetViews>
  <sheetFormatPr defaultColWidth="9.140625" defaultRowHeight="12.75"/>
  <cols>
    <col min="1" max="1" width="8.140625" style="210" customWidth="1"/>
    <col min="2" max="2" width="11.5703125" style="210" customWidth="1"/>
    <col min="3" max="3" width="13.28515625" style="210" customWidth="1"/>
    <col min="4" max="4" width="63" style="210" customWidth="1"/>
    <col min="5" max="5" width="7" style="210" customWidth="1"/>
    <col min="6" max="6" width="16.140625" style="237" customWidth="1"/>
    <col min="7" max="7" width="15.7109375" style="237" customWidth="1"/>
    <col min="8" max="8" width="15.7109375" style="238" customWidth="1"/>
    <col min="9" max="9" width="20.7109375" style="239" customWidth="1"/>
    <col min="10" max="10" width="23.5703125" style="238" customWidth="1"/>
    <col min="11" max="11" width="10.140625" style="210" customWidth="1"/>
    <col min="12" max="14" width="12.85546875" style="210"/>
    <col min="15" max="16384" width="9.140625" style="210"/>
  </cols>
  <sheetData>
    <row r="1" spans="1:14" s="159" customFormat="1" ht="18" customHeight="1">
      <c r="A1" s="240"/>
      <c r="B1" s="240"/>
      <c r="C1" s="240"/>
      <c r="D1" s="290" t="s">
        <v>0</v>
      </c>
      <c r="E1" s="290"/>
      <c r="F1" s="290"/>
      <c r="G1" s="290"/>
      <c r="H1" s="338"/>
      <c r="I1" s="338"/>
      <c r="J1" s="353" t="s">
        <v>1</v>
      </c>
    </row>
    <row r="2" spans="1:14" s="159" customFormat="1" ht="18" customHeight="1">
      <c r="A2" s="240"/>
      <c r="B2" s="240"/>
      <c r="C2" s="240"/>
      <c r="D2" s="290" t="s">
        <v>2</v>
      </c>
      <c r="E2" s="290"/>
      <c r="F2" s="290"/>
      <c r="G2" s="290"/>
      <c r="H2" s="338"/>
      <c r="I2" s="338"/>
      <c r="J2" s="353"/>
    </row>
    <row r="3" spans="1:14" s="159" customFormat="1" ht="18" customHeight="1">
      <c r="A3" s="240"/>
      <c r="B3" s="240"/>
      <c r="C3" s="240"/>
      <c r="D3" s="290" t="s">
        <v>3</v>
      </c>
      <c r="E3" s="290"/>
      <c r="F3" s="290"/>
      <c r="G3" s="290"/>
      <c r="H3" s="338"/>
      <c r="I3" s="338"/>
      <c r="J3" s="353"/>
    </row>
    <row r="4" spans="1:14" s="160" customFormat="1">
      <c r="A4" s="241"/>
      <c r="B4" s="241"/>
      <c r="C4" s="241"/>
      <c r="D4" s="167"/>
      <c r="E4" s="168"/>
      <c r="F4" s="169"/>
      <c r="G4" s="170"/>
      <c r="H4" s="242"/>
      <c r="I4" s="242"/>
      <c r="J4" s="353"/>
    </row>
    <row r="5" spans="1:14" customFormat="1" ht="40.5" customHeight="1">
      <c r="A5" s="291" t="s">
        <v>4</v>
      </c>
      <c r="B5" s="291"/>
      <c r="C5" s="291"/>
      <c r="D5" s="291"/>
      <c r="E5" s="291"/>
      <c r="F5" s="291"/>
      <c r="G5" s="291"/>
      <c r="H5" s="339"/>
      <c r="I5" s="339"/>
      <c r="J5" s="353"/>
    </row>
    <row r="6" spans="1:14" customFormat="1" ht="3" customHeight="1">
      <c r="A6" s="243"/>
      <c r="B6" s="243"/>
      <c r="C6" s="243"/>
      <c r="D6" s="244"/>
      <c r="E6" s="244"/>
      <c r="F6" s="245"/>
      <c r="G6" s="243"/>
      <c r="H6" s="246"/>
      <c r="I6" s="272"/>
      <c r="J6" s="353"/>
    </row>
    <row r="7" spans="1:14" customFormat="1" ht="12.75" customHeight="1">
      <c r="A7" s="292" t="s">
        <v>5</v>
      </c>
      <c r="B7" s="292"/>
      <c r="C7" s="292"/>
      <c r="D7" s="247">
        <f>BDI!D36</f>
        <v>0.21378112315270936</v>
      </c>
      <c r="E7" s="292" t="s">
        <v>6</v>
      </c>
      <c r="F7" s="292"/>
      <c r="G7" s="247">
        <f>'ENC SOCIAIS'!F52</f>
        <v>1.1446999999999998</v>
      </c>
      <c r="H7" s="238"/>
      <c r="I7" s="273"/>
      <c r="J7" s="353"/>
    </row>
    <row r="8" spans="1:14" ht="12.75" customHeight="1">
      <c r="A8" s="11" t="s">
        <v>7</v>
      </c>
      <c r="B8" s="293" t="s">
        <v>8</v>
      </c>
      <c r="C8" s="293"/>
      <c r="D8" s="293"/>
      <c r="E8" s="248"/>
      <c r="F8" s="248"/>
      <c r="G8" s="248"/>
      <c r="H8" s="249"/>
      <c r="I8" s="249"/>
      <c r="J8" s="353"/>
    </row>
    <row r="9" spans="1:14" ht="21" customHeight="1">
      <c r="A9" s="350" t="s">
        <v>319</v>
      </c>
      <c r="B9" s="294"/>
      <c r="C9" s="294"/>
      <c r="D9" s="294"/>
      <c r="E9" s="294"/>
      <c r="F9" s="294"/>
      <c r="G9" s="294"/>
      <c r="H9" s="340"/>
      <c r="I9" s="340"/>
      <c r="J9" s="274">
        <v>1.7600000000000001E-2</v>
      </c>
      <c r="K9" s="210">
        <f>I12*0.33</f>
        <v>14203.675200000001</v>
      </c>
    </row>
    <row r="10" spans="1:14" ht="38.25">
      <c r="A10" s="250" t="s">
        <v>9</v>
      </c>
      <c r="B10" s="251" t="s">
        <v>10</v>
      </c>
      <c r="C10" s="251" t="s">
        <v>11</v>
      </c>
      <c r="D10" s="252" t="s">
        <v>12</v>
      </c>
      <c r="E10" s="253" t="s">
        <v>13</v>
      </c>
      <c r="F10" s="254" t="s">
        <v>14</v>
      </c>
      <c r="G10" s="254" t="s">
        <v>15</v>
      </c>
      <c r="H10" s="255" t="s">
        <v>16</v>
      </c>
      <c r="I10" s="275" t="s">
        <v>17</v>
      </c>
      <c r="J10" s="255" t="s">
        <v>18</v>
      </c>
      <c r="K10" s="210">
        <f>K9/I19</f>
        <v>0.19907919143183034</v>
      </c>
    </row>
    <row r="11" spans="1:14" s="236" customFormat="1" ht="20.100000000000001" customHeight="1">
      <c r="A11" s="256">
        <v>1</v>
      </c>
      <c r="C11" s="257"/>
      <c r="D11" s="258" t="s">
        <v>19</v>
      </c>
      <c r="E11" s="347"/>
      <c r="F11" s="347"/>
      <c r="G11" s="347"/>
      <c r="H11" s="351"/>
      <c r="I11" s="352"/>
      <c r="J11" s="259"/>
    </row>
    <row r="12" spans="1:14" ht="18" customHeight="1">
      <c r="A12" s="260" t="s">
        <v>20</v>
      </c>
      <c r="B12" s="261" t="s">
        <v>21</v>
      </c>
      <c r="C12" s="262" t="s">
        <v>70</v>
      </c>
      <c r="D12" s="207" t="s">
        <v>22</v>
      </c>
      <c r="E12" s="25" t="s">
        <v>23</v>
      </c>
      <c r="F12" s="263">
        <v>1</v>
      </c>
      <c r="G12" s="264">
        <f>ROUND(H12/(1+D7),2)</f>
        <v>35460.629999999997</v>
      </c>
      <c r="H12" s="264">
        <f>'CPU 01 - SERVIÇOS PRELIMINARES'!H20</f>
        <v>43041.440000000002</v>
      </c>
      <c r="I12" s="276">
        <f t="shared" ref="I12:I18" si="0">ROUND(F12*H12,2)</f>
        <v>43041.440000000002</v>
      </c>
      <c r="J12" s="277">
        <f>ROUND(I12*(1+$J$9),2)</f>
        <v>43798.97</v>
      </c>
      <c r="K12" s="278">
        <f>J12/I39</f>
        <v>4.4577740451014806E-2</v>
      </c>
      <c r="L12" s="210">
        <f>I12/3</f>
        <v>14347.146666666667</v>
      </c>
      <c r="M12" s="210">
        <f>I12/3</f>
        <v>14347.146666666667</v>
      </c>
      <c r="N12" s="210">
        <f>I12/3</f>
        <v>14347.146666666667</v>
      </c>
    </row>
    <row r="13" spans="1:14" ht="18" customHeight="1">
      <c r="A13" s="286" t="s">
        <v>24</v>
      </c>
      <c r="B13" s="261" t="s">
        <v>25</v>
      </c>
      <c r="C13" s="262">
        <v>10775</v>
      </c>
      <c r="D13" s="207" t="s">
        <v>26</v>
      </c>
      <c r="E13" s="25" t="s">
        <v>27</v>
      </c>
      <c r="F13" s="265">
        <v>4</v>
      </c>
      <c r="G13" s="264">
        <v>870</v>
      </c>
      <c r="H13" s="264">
        <f>ROUND(G13*(1+$D$7),2)</f>
        <v>1055.99</v>
      </c>
      <c r="I13" s="276">
        <f t="shared" si="0"/>
        <v>4223.96</v>
      </c>
      <c r="J13" s="279">
        <f>ROUND(I13*(1+$J$9),2)</f>
        <v>4298.3</v>
      </c>
      <c r="K13" s="278"/>
    </row>
    <row r="14" spans="1:14" ht="18" customHeight="1">
      <c r="A14" s="286" t="s">
        <v>28</v>
      </c>
      <c r="B14" s="261" t="s">
        <v>29</v>
      </c>
      <c r="C14" s="262">
        <v>4299</v>
      </c>
      <c r="D14" s="207" t="s">
        <v>30</v>
      </c>
      <c r="E14" s="25" t="s">
        <v>27</v>
      </c>
      <c r="F14" s="265">
        <v>4</v>
      </c>
      <c r="G14" s="264">
        <v>654.41999999999996</v>
      </c>
      <c r="H14" s="264">
        <f>ROUND(G14*(1+$D$7),2)</f>
        <v>794.32</v>
      </c>
      <c r="I14" s="276">
        <f t="shared" si="0"/>
        <v>3177.28</v>
      </c>
      <c r="J14" s="279">
        <f>ROUND(I14*(1+$J$9),2)</f>
        <v>3233.2</v>
      </c>
      <c r="K14" s="278"/>
    </row>
    <row r="15" spans="1:14" ht="18" customHeight="1">
      <c r="A15" s="286" t="s">
        <v>31</v>
      </c>
      <c r="B15" s="261" t="s">
        <v>21</v>
      </c>
      <c r="C15" s="262" t="s">
        <v>71</v>
      </c>
      <c r="D15" s="207" t="s">
        <v>32</v>
      </c>
      <c r="E15" s="25" t="s">
        <v>33</v>
      </c>
      <c r="F15" s="265">
        <v>1</v>
      </c>
      <c r="G15" s="264">
        <f>'CPU 01 - SERVIÇOS PRELIMINARES'!H27</f>
        <v>5669.08</v>
      </c>
      <c r="H15" s="264">
        <f>ROUND(G15*(1+$D$7),2)</f>
        <v>6881.02</v>
      </c>
      <c r="I15" s="276">
        <f t="shared" si="0"/>
        <v>6881.02</v>
      </c>
      <c r="J15" s="277">
        <f>ROUND(I15*(1+$J$9),2)</f>
        <v>7002.13</v>
      </c>
      <c r="L15" s="237">
        <f>I15</f>
        <v>6881.02</v>
      </c>
    </row>
    <row r="16" spans="1:14" ht="17.25" customHeight="1">
      <c r="A16" s="286" t="s">
        <v>34</v>
      </c>
      <c r="B16" s="261" t="s">
        <v>21</v>
      </c>
      <c r="C16" s="262" t="s">
        <v>71</v>
      </c>
      <c r="D16" s="207" t="s">
        <v>35</v>
      </c>
      <c r="E16" s="25" t="s">
        <v>33</v>
      </c>
      <c r="F16" s="265">
        <v>1</v>
      </c>
      <c r="G16" s="264">
        <f>G15</f>
        <v>5669.08</v>
      </c>
      <c r="H16" s="264">
        <f>ROUND(G16*(1+$D$7),2)</f>
        <v>6881.02</v>
      </c>
      <c r="I16" s="276">
        <f t="shared" si="0"/>
        <v>6881.02</v>
      </c>
      <c r="J16" s="277">
        <f t="shared" ref="J16:J22" si="1">ROUND(I16*(1+$J$9),2)</f>
        <v>7002.13</v>
      </c>
      <c r="L16" s="237">
        <f>I16</f>
        <v>6881.02</v>
      </c>
    </row>
    <row r="17" spans="1:14" ht="18" customHeight="1">
      <c r="A17" s="286" t="s">
        <v>36</v>
      </c>
      <c r="B17" s="261" t="s">
        <v>21</v>
      </c>
      <c r="C17" s="262" t="s">
        <v>37</v>
      </c>
      <c r="D17" s="207" t="s">
        <v>38</v>
      </c>
      <c r="E17" s="25" t="s">
        <v>39</v>
      </c>
      <c r="F17" s="265">
        <f>3.6*1.8</f>
        <v>6.48</v>
      </c>
      <c r="G17" s="264">
        <f>H17/(1+$D$7)</f>
        <v>376.37757853194393</v>
      </c>
      <c r="H17" s="264">
        <f>'CPU 01 - SERVIÇOS PRELIMINARES'!H43</f>
        <v>456.84</v>
      </c>
      <c r="I17" s="276">
        <f t="shared" si="0"/>
        <v>2960.32</v>
      </c>
      <c r="J17" s="277">
        <f t="shared" si="1"/>
        <v>3012.42</v>
      </c>
      <c r="L17" s="237">
        <f>I17</f>
        <v>2960.32</v>
      </c>
    </row>
    <row r="18" spans="1:14" ht="18" customHeight="1">
      <c r="A18" s="286" t="s">
        <v>40</v>
      </c>
      <c r="B18" s="261" t="s">
        <v>21</v>
      </c>
      <c r="C18" s="262" t="s">
        <v>41</v>
      </c>
      <c r="D18" s="207" t="s">
        <v>42</v>
      </c>
      <c r="E18" s="25" t="s">
        <v>39</v>
      </c>
      <c r="F18" s="265">
        <v>8363.64</v>
      </c>
      <c r="G18" s="264">
        <f>H18/(1+$D$7)</f>
        <v>0.41193588404249187</v>
      </c>
      <c r="H18" s="264">
        <f>'CPU 01 - SERVIÇOS PRELIMINARES'!H54</f>
        <v>0.5</v>
      </c>
      <c r="I18" s="276">
        <f t="shared" si="0"/>
        <v>4181.82</v>
      </c>
      <c r="J18" s="277">
        <f t="shared" si="1"/>
        <v>4255.42</v>
      </c>
      <c r="L18" s="237">
        <f>I18</f>
        <v>4181.82</v>
      </c>
    </row>
    <row r="19" spans="1:14" ht="20.100000000000001" customHeight="1">
      <c r="A19" s="297"/>
      <c r="B19" s="341"/>
      <c r="C19" s="298"/>
      <c r="D19" s="298"/>
      <c r="E19" s="299" t="s">
        <v>43</v>
      </c>
      <c r="F19" s="299"/>
      <c r="G19" s="299"/>
      <c r="H19" s="342"/>
      <c r="I19" s="280">
        <f>SUM(I12:I18)</f>
        <v>71346.860000000015</v>
      </c>
      <c r="J19" s="281">
        <f>SUM(J12:J18)</f>
        <v>72602.569999999992</v>
      </c>
      <c r="L19" s="210">
        <f>SUM(L12:L17)</f>
        <v>31069.506666666668</v>
      </c>
      <c r="M19" s="210">
        <f>SUM(M12:M17)</f>
        <v>14347.146666666667</v>
      </c>
      <c r="N19" s="210">
        <f>SUM(N12:N17)</f>
        <v>14347.146666666667</v>
      </c>
    </row>
    <row r="20" spans="1:14" s="236" customFormat="1" ht="20.100000000000001" customHeight="1">
      <c r="A20" s="256">
        <v>2</v>
      </c>
      <c r="C20" s="257"/>
      <c r="D20" s="258" t="s">
        <v>66</v>
      </c>
      <c r="E20" s="295"/>
      <c r="F20" s="296"/>
      <c r="G20" s="296"/>
      <c r="H20" s="296"/>
      <c r="I20" s="296"/>
      <c r="J20" s="355"/>
    </row>
    <row r="21" spans="1:14" ht="38.25">
      <c r="A21" s="260" t="s">
        <v>44</v>
      </c>
      <c r="B21" s="261" t="s">
        <v>25</v>
      </c>
      <c r="C21" s="262">
        <v>98525</v>
      </c>
      <c r="D21" s="207" t="s">
        <v>45</v>
      </c>
      <c r="E21" s="25" t="s">
        <v>39</v>
      </c>
      <c r="F21" s="265">
        <f>'MC - Porto Seguro'!E9</f>
        <v>8363.64</v>
      </c>
      <c r="G21" s="264">
        <v>0.42</v>
      </c>
      <c r="H21" s="264">
        <f>ROUND(G21*(1+$D$7),2)</f>
        <v>0.51</v>
      </c>
      <c r="I21" s="276">
        <f>ROUND(F21*H21,2)</f>
        <v>4265.46</v>
      </c>
      <c r="J21" s="277">
        <f t="shared" si="1"/>
        <v>4340.53</v>
      </c>
    </row>
    <row r="22" spans="1:14" ht="25.5">
      <c r="A22" s="260" t="s">
        <v>47</v>
      </c>
      <c r="B22" s="261" t="s">
        <v>21</v>
      </c>
      <c r="C22" s="262" t="s">
        <v>48</v>
      </c>
      <c r="D22" s="207" t="s">
        <v>49</v>
      </c>
      <c r="E22" s="25" t="s">
        <v>39</v>
      </c>
      <c r="F22" s="265">
        <f>'MC - Porto Seguro'!E10</f>
        <v>8363.64</v>
      </c>
      <c r="G22" s="264">
        <f>'CPU 02'!H52</f>
        <v>2.2790250000000003</v>
      </c>
      <c r="H22" s="264">
        <f>ROUND(G22*(1+$D$7),2)</f>
        <v>2.77</v>
      </c>
      <c r="I22" s="276">
        <f>ROUND(F22*H22,2)</f>
        <v>23167.279999999999</v>
      </c>
      <c r="J22" s="277">
        <f t="shared" si="1"/>
        <v>23575.02</v>
      </c>
    </row>
    <row r="23" spans="1:14" ht="21.95" customHeight="1">
      <c r="A23" s="297"/>
      <c r="B23" s="341"/>
      <c r="C23" s="298"/>
      <c r="D23" s="298"/>
      <c r="E23" s="299" t="s">
        <v>50</v>
      </c>
      <c r="F23" s="299"/>
      <c r="G23" s="299"/>
      <c r="H23" s="342"/>
      <c r="I23" s="280">
        <f>SUM(I21:I22)</f>
        <v>27432.739999999998</v>
      </c>
      <c r="J23" s="281">
        <f>SUM(J21:J22)</f>
        <v>27915.55</v>
      </c>
    </row>
    <row r="24" spans="1:14" s="236" customFormat="1" ht="20.100000000000001" customHeight="1">
      <c r="A24" s="256">
        <v>3</v>
      </c>
      <c r="C24" s="257"/>
      <c r="D24" s="258" t="s">
        <v>72</v>
      </c>
      <c r="E24" s="295"/>
      <c r="F24" s="296"/>
      <c r="G24" s="296"/>
      <c r="H24" s="296"/>
      <c r="I24" s="296"/>
      <c r="J24" s="355"/>
      <c r="L24" s="282">
        <f>L19/I19</f>
        <v>0.43547125503023765</v>
      </c>
      <c r="M24" s="282">
        <f>M19/I19</f>
        <v>0.20109009235538416</v>
      </c>
      <c r="N24" s="282">
        <f>N19/I19</f>
        <v>0.20109009235538416</v>
      </c>
    </row>
    <row r="25" spans="1:14" ht="25.5">
      <c r="A25" s="260" t="s">
        <v>51</v>
      </c>
      <c r="B25" s="261" t="s">
        <v>25</v>
      </c>
      <c r="C25" s="262">
        <v>97629</v>
      </c>
      <c r="D25" s="207" t="s">
        <v>73</v>
      </c>
      <c r="E25" s="25" t="s">
        <v>52</v>
      </c>
      <c r="F25" s="265">
        <f>'MC - Porto Seguro'!E13</f>
        <v>418.18</v>
      </c>
      <c r="G25" s="264">
        <v>130.88999999999999</v>
      </c>
      <c r="H25" s="264">
        <f t="shared" ref="H25:H30" si="2">ROUND(G25*(1+$D$7),2)</f>
        <v>158.87</v>
      </c>
      <c r="I25" s="276">
        <f t="shared" ref="I25:I30" si="3">ROUND(F25*H25,2)</f>
        <v>66436.259999999995</v>
      </c>
      <c r="J25" s="277">
        <f t="shared" ref="J25:J30" si="4">ROUND(I25*(1+$J$9),2)</f>
        <v>67605.539999999994</v>
      </c>
    </row>
    <row r="26" spans="1:14" ht="25.5">
      <c r="A26" s="260" t="s">
        <v>56</v>
      </c>
      <c r="B26" s="261" t="s">
        <v>25</v>
      </c>
      <c r="C26" s="262">
        <v>93358</v>
      </c>
      <c r="D26" s="207" t="s">
        <v>57</v>
      </c>
      <c r="E26" s="25" t="s">
        <v>52</v>
      </c>
      <c r="F26" s="265">
        <f>'MC - Porto Seguro'!E14</f>
        <v>43.4</v>
      </c>
      <c r="G26" s="264">
        <v>74.33</v>
      </c>
      <c r="H26" s="264">
        <f t="shared" si="2"/>
        <v>90.22</v>
      </c>
      <c r="I26" s="276">
        <f t="shared" si="3"/>
        <v>3915.55</v>
      </c>
      <c r="J26" s="277">
        <f t="shared" si="4"/>
        <v>3984.46</v>
      </c>
    </row>
    <row r="27" spans="1:14" ht="38.25">
      <c r="A27" s="260" t="s">
        <v>74</v>
      </c>
      <c r="B27" s="261" t="s">
        <v>25</v>
      </c>
      <c r="C27" s="262">
        <v>94278</v>
      </c>
      <c r="D27" s="207" t="s">
        <v>67</v>
      </c>
      <c r="E27" s="25" t="s">
        <v>53</v>
      </c>
      <c r="F27" s="265">
        <f>'MC - Porto Seguro'!E15</f>
        <v>1929.6</v>
      </c>
      <c r="G27" s="264">
        <v>34.29</v>
      </c>
      <c r="H27" s="264">
        <f t="shared" si="2"/>
        <v>41.62</v>
      </c>
      <c r="I27" s="276">
        <f t="shared" si="3"/>
        <v>80309.95</v>
      </c>
      <c r="J27" s="277">
        <f t="shared" si="4"/>
        <v>81723.41</v>
      </c>
    </row>
    <row r="28" spans="1:14" ht="27.75" customHeight="1">
      <c r="A28" s="260" t="s">
        <v>75</v>
      </c>
      <c r="B28" s="261" t="s">
        <v>25</v>
      </c>
      <c r="C28" s="262">
        <v>96995</v>
      </c>
      <c r="D28" s="207" t="s">
        <v>54</v>
      </c>
      <c r="E28" s="25" t="s">
        <v>52</v>
      </c>
      <c r="F28" s="265">
        <f>'MC - Porto Seguro'!E16</f>
        <v>20.25</v>
      </c>
      <c r="G28" s="264">
        <v>45.06</v>
      </c>
      <c r="H28" s="264">
        <f t="shared" si="2"/>
        <v>54.69</v>
      </c>
      <c r="I28" s="276">
        <f t="shared" si="3"/>
        <v>1107.47</v>
      </c>
      <c r="J28" s="277">
        <f t="shared" si="4"/>
        <v>1126.96</v>
      </c>
    </row>
    <row r="29" spans="1:14" ht="27.75" customHeight="1">
      <c r="A29" s="260" t="s">
        <v>76</v>
      </c>
      <c r="B29" s="261" t="s">
        <v>21</v>
      </c>
      <c r="C29" s="262" t="s">
        <v>77</v>
      </c>
      <c r="D29" s="207" t="s">
        <v>78</v>
      </c>
      <c r="E29" s="25" t="s">
        <v>39</v>
      </c>
      <c r="F29" s="265">
        <f>'MC - Porto Seguro'!E17</f>
        <v>1779.73</v>
      </c>
      <c r="G29" s="264">
        <f>'CPU 02'!H38</f>
        <v>76.999742999999995</v>
      </c>
      <c r="H29" s="264">
        <f t="shared" si="2"/>
        <v>93.46</v>
      </c>
      <c r="I29" s="276">
        <f t="shared" si="3"/>
        <v>166333.57</v>
      </c>
      <c r="J29" s="277">
        <f t="shared" si="4"/>
        <v>169261.04</v>
      </c>
    </row>
    <row r="30" spans="1:14" ht="27.75" customHeight="1">
      <c r="A30" s="260" t="s">
        <v>79</v>
      </c>
      <c r="B30" s="261" t="s">
        <v>21</v>
      </c>
      <c r="C30" s="262" t="s">
        <v>80</v>
      </c>
      <c r="D30" s="207" t="s">
        <v>81</v>
      </c>
      <c r="E30" s="25" t="s">
        <v>39</v>
      </c>
      <c r="F30" s="265">
        <f>'MC - Porto Seguro'!E18</f>
        <v>6583.91</v>
      </c>
      <c r="G30" s="264">
        <f>'CPU 02'!H23</f>
        <v>69.520944999999983</v>
      </c>
      <c r="H30" s="264">
        <f t="shared" si="2"/>
        <v>84.38</v>
      </c>
      <c r="I30" s="276">
        <f t="shared" si="3"/>
        <v>555550.32999999996</v>
      </c>
      <c r="J30" s="277">
        <f t="shared" si="4"/>
        <v>565328.02</v>
      </c>
    </row>
    <row r="31" spans="1:14" ht="21.95" customHeight="1">
      <c r="A31" s="297"/>
      <c r="B31" s="341"/>
      <c r="C31" s="298"/>
      <c r="D31" s="298"/>
      <c r="E31" s="299" t="s">
        <v>58</v>
      </c>
      <c r="F31" s="299"/>
      <c r="G31" s="299"/>
      <c r="H31" s="342"/>
      <c r="I31" s="280">
        <f>SUM(I25:I30)</f>
        <v>873653.13</v>
      </c>
      <c r="J31" s="281">
        <f>SUM(J25:J30)</f>
        <v>889029.43</v>
      </c>
    </row>
    <row r="32" spans="1:14" s="236" customFormat="1" ht="21.95" customHeight="1">
      <c r="A32" s="256">
        <v>4</v>
      </c>
      <c r="B32" s="266"/>
      <c r="D32" s="258" t="s">
        <v>82</v>
      </c>
      <c r="E32" s="348"/>
      <c r="F32" s="349"/>
      <c r="G32" s="349"/>
      <c r="H32" s="349"/>
      <c r="I32" s="349"/>
      <c r="J32" s="354"/>
    </row>
    <row r="33" spans="1:10" ht="18" customHeight="1">
      <c r="A33" s="260" t="s">
        <v>59</v>
      </c>
      <c r="B33" s="261" t="s">
        <v>29</v>
      </c>
      <c r="C33" s="262">
        <v>6191</v>
      </c>
      <c r="D33" s="267" t="s">
        <v>64</v>
      </c>
      <c r="E33" s="25" t="s">
        <v>39</v>
      </c>
      <c r="F33" s="265">
        <f>'MC - Porto Seguro'!E21</f>
        <v>8363.64</v>
      </c>
      <c r="G33" s="264">
        <v>0.43</v>
      </c>
      <c r="H33" s="264">
        <f>ROUND(G33*(1+$D$7),2)</f>
        <v>0.52</v>
      </c>
      <c r="I33" s="276">
        <f>ROUND(F33*H33,2)</f>
        <v>4349.09</v>
      </c>
      <c r="J33" s="277">
        <f>ROUND(I33*(1+$J$9),2)</f>
        <v>4425.63</v>
      </c>
    </row>
    <row r="34" spans="1:10" ht="21.95" customHeight="1">
      <c r="A34" s="297"/>
      <c r="B34" s="341"/>
      <c r="C34" s="298"/>
      <c r="D34" s="298"/>
      <c r="E34" s="299" t="s">
        <v>60</v>
      </c>
      <c r="F34" s="299"/>
      <c r="G34" s="299"/>
      <c r="H34" s="342"/>
      <c r="I34" s="280">
        <f>SUM(I33)</f>
        <v>4349.09</v>
      </c>
      <c r="J34" s="281">
        <f>SUM(J33)</f>
        <v>4425.63</v>
      </c>
    </row>
    <row r="35" spans="1:10" s="236" customFormat="1" ht="21.95" customHeight="1">
      <c r="A35" s="256">
        <v>5</v>
      </c>
      <c r="B35" s="266"/>
      <c r="D35" s="258" t="s">
        <v>63</v>
      </c>
      <c r="E35" s="348"/>
      <c r="F35" s="349"/>
      <c r="G35" s="349"/>
      <c r="H35" s="349"/>
      <c r="I35" s="349"/>
      <c r="J35" s="354"/>
    </row>
    <row r="36" spans="1:10" ht="18" customHeight="1">
      <c r="A36" s="260" t="s">
        <v>61</v>
      </c>
      <c r="B36" s="261" t="s">
        <v>29</v>
      </c>
      <c r="C36" s="262">
        <v>9367</v>
      </c>
      <c r="D36" s="267" t="s">
        <v>83</v>
      </c>
      <c r="E36" s="25" t="s">
        <v>39</v>
      </c>
      <c r="F36" s="265">
        <f>'MC - Porto Seguro'!E24</f>
        <v>12</v>
      </c>
      <c r="G36" s="264">
        <v>394.65</v>
      </c>
      <c r="H36" s="264">
        <f>ROUND(G36*(1+$D$7),2)</f>
        <v>479.02</v>
      </c>
      <c r="I36" s="276">
        <f>ROUND(F36*H36,2)</f>
        <v>5748.24</v>
      </c>
      <c r="J36" s="277">
        <f>ROUND(I36*(1+$J$9),2)</f>
        <v>5849.41</v>
      </c>
    </row>
    <row r="37" spans="1:10" ht="21.95" customHeight="1">
      <c r="A37" s="300" t="s">
        <v>84</v>
      </c>
      <c r="B37" s="301"/>
      <c r="C37" s="301"/>
      <c r="D37" s="346"/>
      <c r="E37" s="299" t="s">
        <v>62</v>
      </c>
      <c r="F37" s="299"/>
      <c r="G37" s="299"/>
      <c r="H37" s="342"/>
      <c r="I37" s="280">
        <f>SUM(I36)</f>
        <v>5748.24</v>
      </c>
      <c r="J37" s="281">
        <f>SUM(J36)</f>
        <v>5849.41</v>
      </c>
    </row>
    <row r="38" spans="1:10">
      <c r="A38" s="268"/>
      <c r="B38" s="269"/>
      <c r="C38" s="269"/>
      <c r="D38" s="269"/>
      <c r="E38" s="270"/>
      <c r="F38" s="270"/>
      <c r="G38" s="270"/>
      <c r="H38" s="271"/>
      <c r="I38" s="271"/>
      <c r="J38" s="283"/>
    </row>
    <row r="39" spans="1:10" ht="30.75" customHeight="1">
      <c r="A39" s="302"/>
      <c r="B39" s="303"/>
      <c r="C39" s="303"/>
      <c r="D39" s="343"/>
      <c r="E39" s="344" t="s">
        <v>65</v>
      </c>
      <c r="F39" s="344"/>
      <c r="G39" s="344"/>
      <c r="H39" s="345"/>
      <c r="I39" s="284">
        <f>SUM(I19+I23+I31+I37+I34)</f>
        <v>982530.05999999994</v>
      </c>
      <c r="J39" s="285">
        <f>SUM(J19+J23+J31+J37+J34)</f>
        <v>999822.59000000008</v>
      </c>
    </row>
    <row r="43" spans="1:10">
      <c r="J43" s="238" t="s">
        <v>85</v>
      </c>
    </row>
  </sheetData>
  <mergeCells count="26">
    <mergeCell ref="A39:D39"/>
    <mergeCell ref="E39:H39"/>
    <mergeCell ref="J1:J8"/>
    <mergeCell ref="E32:J32"/>
    <mergeCell ref="A34:D34"/>
    <mergeCell ref="E34:H34"/>
    <mergeCell ref="E35:J35"/>
    <mergeCell ref="A37:D37"/>
    <mergeCell ref="E37:H37"/>
    <mergeCell ref="E20:J20"/>
    <mergeCell ref="A23:D23"/>
    <mergeCell ref="E23:H23"/>
    <mergeCell ref="E24:J24"/>
    <mergeCell ref="A31:D31"/>
    <mergeCell ref="E31:H31"/>
    <mergeCell ref="B8:D8"/>
    <mergeCell ref="A9:I9"/>
    <mergeCell ref="E11:I11"/>
    <mergeCell ref="A19:D19"/>
    <mergeCell ref="E19:H19"/>
    <mergeCell ref="D1:I1"/>
    <mergeCell ref="D2:I2"/>
    <mergeCell ref="D3:I3"/>
    <mergeCell ref="A5:I5"/>
    <mergeCell ref="A7:C7"/>
    <mergeCell ref="E7:F7"/>
  </mergeCells>
  <pageMargins left="0.98425196850393704" right="0.59055118110236204" top="0.78740157480314998" bottom="0.78740157480314998" header="0.511811023622047" footer="0.59055118110236204"/>
  <pageSetup paperSize="9" scale="4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27"/>
  <sheetViews>
    <sheetView showGridLines="0" view="pageBreakPreview" zoomScaleNormal="100" zoomScaleSheetLayoutView="100" workbookViewId="0">
      <selection activeCell="A6" sqref="A6"/>
    </sheetView>
  </sheetViews>
  <sheetFormatPr defaultColWidth="9" defaultRowHeight="12.75"/>
  <cols>
    <col min="2" max="2" width="52.42578125" customWidth="1"/>
    <col min="3" max="3" width="22.28515625" customWidth="1"/>
    <col min="4" max="7" width="18.7109375" customWidth="1"/>
    <col min="8" max="8" width="11.28515625" customWidth="1"/>
  </cols>
  <sheetData>
    <row r="1" spans="1:8" s="159" customFormat="1" ht="15.75" customHeight="1">
      <c r="A1" s="195"/>
      <c r="B1" s="304" t="s">
        <v>96</v>
      </c>
      <c r="C1" s="304"/>
      <c r="D1" s="304"/>
      <c r="E1" s="304"/>
      <c r="F1" s="304"/>
      <c r="G1" s="304"/>
    </row>
    <row r="2" spans="1:8" s="159" customFormat="1" ht="15.75" customHeight="1">
      <c r="A2" s="211"/>
      <c r="B2" s="304" t="s">
        <v>97</v>
      </c>
      <c r="C2" s="304"/>
      <c r="D2" s="304"/>
      <c r="E2" s="304"/>
      <c r="F2" s="304"/>
      <c r="G2" s="304"/>
    </row>
    <row r="3" spans="1:8" s="159" customFormat="1" ht="15.75" customHeight="1">
      <c r="A3" s="211"/>
      <c r="B3" s="304" t="s">
        <v>98</v>
      </c>
      <c r="C3" s="304"/>
      <c r="D3" s="304"/>
      <c r="E3" s="304"/>
      <c r="F3" s="304"/>
      <c r="G3" s="304"/>
    </row>
    <row r="4" spans="1:8">
      <c r="A4" s="3"/>
      <c r="B4" s="4"/>
      <c r="C4" s="158"/>
      <c r="D4" s="158"/>
      <c r="E4" s="4"/>
      <c r="F4" s="4"/>
      <c r="G4" s="4"/>
    </row>
    <row r="5" spans="1:8" s="160" customFormat="1" ht="39.75" customHeight="1">
      <c r="A5" s="305" t="str">
        <f>'Planilha - PORTO SEGURO'!A5:I5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5" s="306"/>
      <c r="C5" s="306"/>
      <c r="D5" s="306"/>
      <c r="E5" s="306"/>
      <c r="F5" s="306"/>
      <c r="G5" s="306"/>
    </row>
    <row r="6" spans="1:8" ht="15">
      <c r="A6" s="212"/>
      <c r="B6" s="213"/>
      <c r="C6" s="214"/>
      <c r="D6" s="214"/>
      <c r="E6" s="215"/>
      <c r="F6" s="215"/>
      <c r="G6" s="4"/>
    </row>
    <row r="7" spans="1:8" ht="20.25">
      <c r="A7" s="307" t="s">
        <v>321</v>
      </c>
      <c r="B7" s="308"/>
      <c r="C7" s="308"/>
      <c r="D7" s="308"/>
      <c r="E7" s="308"/>
      <c r="F7" s="308"/>
      <c r="G7" s="308"/>
    </row>
    <row r="8" spans="1:8">
      <c r="A8" s="155"/>
      <c r="B8" s="156"/>
      <c r="C8" s="154"/>
      <c r="D8" s="154"/>
      <c r="E8" s="156"/>
      <c r="F8" s="156"/>
      <c r="G8" s="156"/>
    </row>
    <row r="9" spans="1:8" ht="12.75" customHeight="1">
      <c r="A9" s="309" t="s">
        <v>86</v>
      </c>
      <c r="B9" s="309" t="s">
        <v>87</v>
      </c>
      <c r="C9" s="309" t="s">
        <v>88</v>
      </c>
      <c r="D9" s="309" t="s">
        <v>89</v>
      </c>
      <c r="E9" s="309" t="s">
        <v>90</v>
      </c>
      <c r="F9" s="309" t="s">
        <v>91</v>
      </c>
      <c r="G9" s="309" t="s">
        <v>99</v>
      </c>
    </row>
    <row r="10" spans="1:8" ht="12.75" customHeight="1">
      <c r="A10" s="309"/>
      <c r="B10" s="309"/>
      <c r="C10" s="309"/>
      <c r="D10" s="309"/>
      <c r="E10" s="309"/>
      <c r="F10" s="309"/>
      <c r="G10" s="309"/>
    </row>
    <row r="11" spans="1:8" ht="15.75">
      <c r="A11" s="216">
        <f>'Planilha - PORTO SEGURO'!A11</f>
        <v>1</v>
      </c>
      <c r="B11" s="216" t="str">
        <f>'Planilha - PORTO SEGURO'!D11</f>
        <v>SERVIÇOS PRELIMINARES</v>
      </c>
      <c r="C11" s="217">
        <f>'Planilha - PORTO SEGURO'!J19</f>
        <v>72602.569999999992</v>
      </c>
      <c r="D11" s="218">
        <f>'Planilha - PORTO SEGURO'!J12/4+'Planilha - PORTO SEGURO'!H13+'Planilha - PORTO SEGURO'!H14+'Planilha - PORTO SEGURO'!J15+'Planilha - PORTO SEGURO'!J17+'Planilha - PORTO SEGURO'!J18</f>
        <v>27070.022499999999</v>
      </c>
      <c r="E11" s="218">
        <f>'Planilha - PORTO SEGURO'!J12/4</f>
        <v>10949.7425</v>
      </c>
      <c r="F11" s="218">
        <f>E11</f>
        <v>10949.7425</v>
      </c>
      <c r="G11" s="218">
        <f>C11-D11-E11-F11</f>
        <v>23633.062499999993</v>
      </c>
      <c r="H11" s="219">
        <f>D11+E11+G11</f>
        <v>61652.827499999992</v>
      </c>
    </row>
    <row r="12" spans="1:8" ht="15.75">
      <c r="A12" s="216"/>
      <c r="B12" s="220"/>
      <c r="C12" s="221"/>
      <c r="D12" s="222">
        <f>D11/$C$11</f>
        <v>0.3728521249316657</v>
      </c>
      <c r="E12" s="222">
        <f>E11/$C$11</f>
        <v>0.15081756059048601</v>
      </c>
      <c r="F12" s="222">
        <f>F11/$C$11</f>
        <v>0.15081756059048601</v>
      </c>
      <c r="G12" s="222">
        <f>G11/$C$11</f>
        <v>0.32551275388736234</v>
      </c>
    </row>
    <row r="13" spans="1:8" ht="15.75">
      <c r="A13" s="216">
        <f>'Planilha - PORTO SEGURO'!A20</f>
        <v>2</v>
      </c>
      <c r="B13" s="216" t="str">
        <f>'Planilha - PORTO SEGURO'!D20</f>
        <v>TERRAPLENAGEM</v>
      </c>
      <c r="C13" s="217">
        <f>'Planilha - PORTO SEGURO'!J23</f>
        <v>27915.55</v>
      </c>
      <c r="D13" s="218">
        <f>C13</f>
        <v>27915.55</v>
      </c>
      <c r="E13" s="218">
        <v>0</v>
      </c>
      <c r="F13" s="218">
        <v>0</v>
      </c>
      <c r="G13" s="218">
        <v>0</v>
      </c>
      <c r="H13" s="219">
        <f>D13+E13+G13</f>
        <v>27915.55</v>
      </c>
    </row>
    <row r="14" spans="1:8" ht="15.75">
      <c r="A14" s="216"/>
      <c r="B14" s="220"/>
      <c r="C14" s="217"/>
      <c r="D14" s="222">
        <f>D13/$C$13</f>
        <v>1</v>
      </c>
      <c r="E14" s="222">
        <f>E13/$C$13</f>
        <v>0</v>
      </c>
      <c r="F14" s="222">
        <f>F13/$C$13</f>
        <v>0</v>
      </c>
      <c r="G14" s="222">
        <f>G13/$C$13</f>
        <v>0</v>
      </c>
    </row>
    <row r="15" spans="1:8" ht="31.5">
      <c r="A15" s="216" t="e">
        <f>#REF!</f>
        <v>#REF!</v>
      </c>
      <c r="B15" s="223" t="str">
        <f>'Planilha - PORTO SEGURO'!D24</f>
        <v xml:space="preserve"> PAVIMENTAÇÃO EM PISO INTERTRAVADO E GUIAS</v>
      </c>
      <c r="C15" s="217">
        <f>'Planilha - PORTO SEGURO'!J31</f>
        <v>889029.43</v>
      </c>
      <c r="D15" s="218">
        <f>C15*0.1</f>
        <v>88902.943000000014</v>
      </c>
      <c r="E15" s="218">
        <f>C15*0.25</f>
        <v>222257.35750000001</v>
      </c>
      <c r="F15" s="224">
        <f>C15*0.35</f>
        <v>311160.30050000001</v>
      </c>
      <c r="G15" s="225">
        <f>C15-D15-E15-F15</f>
        <v>266708.82900000003</v>
      </c>
      <c r="H15" s="219">
        <f>D15+E15+G15</f>
        <v>577869.12950000004</v>
      </c>
    </row>
    <row r="16" spans="1:8" ht="15.75">
      <c r="A16" s="226"/>
      <c r="B16" s="226"/>
      <c r="C16" s="227"/>
      <c r="D16" s="222">
        <f>D15/$C$15</f>
        <v>0.1</v>
      </c>
      <c r="E16" s="222">
        <f>E15/$C$15</f>
        <v>0.25</v>
      </c>
      <c r="F16" s="222">
        <f>F15/$C$15</f>
        <v>0.35</v>
      </c>
      <c r="G16" s="222">
        <f>G15/$C$15</f>
        <v>0.3</v>
      </c>
    </row>
    <row r="17" spans="1:11" ht="15.75">
      <c r="A17" s="216">
        <f>'Planilha - PORTO SEGURO'!A32</f>
        <v>4</v>
      </c>
      <c r="B17" s="216" t="str">
        <f>'Planilha - PORTO SEGURO'!D32</f>
        <v>LIMPEZA DE RUAS</v>
      </c>
      <c r="C17" s="217">
        <f>'Planilha - PORTO SEGURO'!J34</f>
        <v>4425.63</v>
      </c>
      <c r="D17" s="218">
        <v>0</v>
      </c>
      <c r="E17" s="218">
        <v>0</v>
      </c>
      <c r="F17" s="218">
        <v>0</v>
      </c>
      <c r="G17" s="218">
        <f>C17</f>
        <v>4425.63</v>
      </c>
      <c r="H17" s="219">
        <f>D17+E17+G17</f>
        <v>4425.63</v>
      </c>
    </row>
    <row r="18" spans="1:11" ht="15.75">
      <c r="A18" s="226"/>
      <c r="B18" s="226"/>
      <c r="C18" s="227"/>
      <c r="D18" s="222">
        <f>D17/$C$17</f>
        <v>0</v>
      </c>
      <c r="E18" s="222">
        <f>E17/$C$17</f>
        <v>0</v>
      </c>
      <c r="F18" s="222">
        <f>F17/$C$17</f>
        <v>0</v>
      </c>
      <c r="G18" s="222">
        <f>G17/$C$17</f>
        <v>1</v>
      </c>
    </row>
    <row r="19" spans="1:11" ht="15.75">
      <c r="A19" s="216">
        <f>'Planilha - PORTO SEGURO'!A35</f>
        <v>5</v>
      </c>
      <c r="B19" s="216" t="str">
        <f>'Planilha - PORTO SEGURO'!D35</f>
        <v>DIVERSOS</v>
      </c>
      <c r="C19" s="217">
        <f>'Planilha - PORTO SEGURO'!J37</f>
        <v>5849.41</v>
      </c>
      <c r="D19" s="218">
        <f>C19*0</f>
        <v>0</v>
      </c>
      <c r="E19" s="218">
        <f>D19*0</f>
        <v>0</v>
      </c>
      <c r="F19" s="218">
        <f>E19*0</f>
        <v>0</v>
      </c>
      <c r="G19" s="218">
        <f>C19</f>
        <v>5849.41</v>
      </c>
      <c r="H19" s="219">
        <f>D19+E19+G19</f>
        <v>5849.41</v>
      </c>
    </row>
    <row r="20" spans="1:11" ht="15.75">
      <c r="A20" s="226"/>
      <c r="B20" s="226"/>
      <c r="C20" s="227"/>
      <c r="D20" s="222">
        <f>D19/$C$19</f>
        <v>0</v>
      </c>
      <c r="E20" s="222">
        <f>E19/$C$19</f>
        <v>0</v>
      </c>
      <c r="F20" s="222">
        <f>F19/$C$19</f>
        <v>0</v>
      </c>
      <c r="G20" s="222">
        <f>G19/$C$19</f>
        <v>1</v>
      </c>
      <c r="K20" s="105"/>
    </row>
    <row r="21" spans="1:11" ht="15.75">
      <c r="A21" s="228" t="s">
        <v>100</v>
      </c>
      <c r="B21" s="229" t="s">
        <v>92</v>
      </c>
      <c r="C21" s="230">
        <f>C11+C13+C15+C17+C19</f>
        <v>999822.59000000008</v>
      </c>
      <c r="D21" s="230">
        <f>D11+D13+D15+D17+D19</f>
        <v>143888.51550000001</v>
      </c>
      <c r="E21" s="230">
        <f>E11+E13+E15+E17+E19</f>
        <v>233207.1</v>
      </c>
      <c r="F21" s="230">
        <f>F11+F13+F15+F17+F19</f>
        <v>322110.04300000001</v>
      </c>
      <c r="G21" s="230">
        <f>G11+G13+G15+G17+G19</f>
        <v>300616.93150000001</v>
      </c>
      <c r="H21" s="219">
        <f>D21+E21+G21</f>
        <v>677712.54700000002</v>
      </c>
    </row>
    <row r="22" spans="1:11" ht="15.75">
      <c r="A22" s="228"/>
      <c r="B22" s="229"/>
      <c r="C22" s="310"/>
      <c r="D22" s="231"/>
      <c r="E22" s="231"/>
      <c r="F22" s="231"/>
      <c r="G22" s="231"/>
    </row>
    <row r="23" spans="1:11" ht="15.75">
      <c r="A23" s="232" t="s">
        <v>101</v>
      </c>
      <c r="B23" s="233" t="s">
        <v>93</v>
      </c>
      <c r="C23" s="311"/>
      <c r="D23" s="222">
        <f>D21/$C$21</f>
        <v>0.14391404729112992</v>
      </c>
      <c r="E23" s="222">
        <f>E21/C21</f>
        <v>0.23324848061294554</v>
      </c>
      <c r="F23" s="222">
        <f>F21/$C$21</f>
        <v>0.32216719868271826</v>
      </c>
      <c r="G23" s="222">
        <f>G21/$C$21</f>
        <v>0.30067027341320623</v>
      </c>
      <c r="H23" s="234">
        <f>D23+E23+G23</f>
        <v>0.67783280131728163</v>
      </c>
    </row>
    <row r="24" spans="1:11" ht="15.75">
      <c r="A24" s="232" t="s">
        <v>102</v>
      </c>
      <c r="B24" s="233" t="s">
        <v>94</v>
      </c>
      <c r="C24" s="311"/>
      <c r="D24" s="235">
        <f>D21</f>
        <v>143888.51550000001</v>
      </c>
      <c r="E24" s="235">
        <f>D24+E21</f>
        <v>377095.61550000001</v>
      </c>
      <c r="F24" s="235">
        <f>E24+F21</f>
        <v>699205.65850000002</v>
      </c>
      <c r="G24" s="235">
        <f>F24+G21</f>
        <v>999822.59000000008</v>
      </c>
    </row>
    <row r="25" spans="1:11" ht="15.75">
      <c r="A25" s="232" t="s">
        <v>103</v>
      </c>
      <c r="B25" s="233" t="s">
        <v>95</v>
      </c>
      <c r="C25" s="312"/>
      <c r="D25" s="222">
        <f>D23</f>
        <v>0.14391404729112992</v>
      </c>
      <c r="E25" s="222">
        <f>D25+E23</f>
        <v>0.37716252790407545</v>
      </c>
      <c r="F25" s="222">
        <f>E25+F23</f>
        <v>0.69932972658679371</v>
      </c>
      <c r="G25" s="222">
        <f>F25+G23</f>
        <v>1</v>
      </c>
    </row>
    <row r="26" spans="1:11">
      <c r="A26" s="64"/>
      <c r="B26" s="62"/>
      <c r="C26" s="63"/>
      <c r="D26" s="63"/>
      <c r="E26" s="62"/>
      <c r="F26" s="62"/>
    </row>
    <row r="27" spans="1:11">
      <c r="C27" s="105"/>
      <c r="D27" s="105"/>
    </row>
  </sheetData>
  <mergeCells count="13">
    <mergeCell ref="C22:C25"/>
    <mergeCell ref="D9:D10"/>
    <mergeCell ref="B1:G1"/>
    <mergeCell ref="B2:G2"/>
    <mergeCell ref="B3:G3"/>
    <mergeCell ref="A5:G5"/>
    <mergeCell ref="A7:G7"/>
    <mergeCell ref="E9:E10"/>
    <mergeCell ref="F9:F10"/>
    <mergeCell ref="G9:G10"/>
    <mergeCell ref="A9:A10"/>
    <mergeCell ref="B9:B10"/>
    <mergeCell ref="C9:C10"/>
  </mergeCells>
  <printOptions horizontalCentered="1" verticalCentered="1"/>
  <pageMargins left="0.51180555555555596" right="0.51180555555555596" top="1.4875" bottom="0.78680555555555598" header="0.31458333333333299" footer="0.31458333333333299"/>
  <pageSetup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view="pageBreakPreview" topLeftCell="A13" zoomScale="106" zoomScaleNormal="100" zoomScaleSheetLayoutView="106" workbookViewId="0">
      <selection activeCell="A6" sqref="A6"/>
    </sheetView>
  </sheetViews>
  <sheetFormatPr defaultColWidth="9.140625" defaultRowHeight="12.75"/>
  <cols>
    <col min="1" max="1" width="9.28515625" style="159" customWidth="1"/>
    <col min="2" max="2" width="54.28515625" style="159" customWidth="1"/>
    <col min="3" max="3" width="7.42578125" style="159" customWidth="1"/>
    <col min="4" max="4" width="40.140625" style="159" customWidth="1"/>
    <col min="5" max="5" width="14.85546875" style="159" customWidth="1"/>
    <col min="6" max="6" width="9.140625" style="159"/>
    <col min="7" max="7" width="15.42578125" style="159" customWidth="1"/>
    <col min="8" max="10" width="9.140625" style="159"/>
    <col min="11" max="11" width="13.28515625" style="159" customWidth="1"/>
    <col min="12" max="16384" width="9.140625" style="159"/>
  </cols>
  <sheetData>
    <row r="1" spans="1:13" ht="18" customHeight="1">
      <c r="A1" s="193"/>
      <c r="B1" s="313" t="s">
        <v>96</v>
      </c>
      <c r="C1" s="313"/>
      <c r="D1" s="313"/>
      <c r="E1" s="314"/>
    </row>
    <row r="2" spans="1:13" ht="18" customHeight="1">
      <c r="A2" s="194"/>
      <c r="B2" s="315" t="s">
        <v>104</v>
      </c>
      <c r="C2" s="315"/>
      <c r="D2" s="315"/>
      <c r="E2" s="316"/>
    </row>
    <row r="3" spans="1:13" ht="18" customHeight="1">
      <c r="A3" s="194"/>
      <c r="B3" s="315" t="s">
        <v>98</v>
      </c>
      <c r="C3" s="315"/>
      <c r="D3" s="315"/>
      <c r="E3" s="316"/>
    </row>
    <row r="4" spans="1:13" ht="12.75" customHeight="1">
      <c r="A4" s="195"/>
      <c r="B4" s="196"/>
      <c r="C4" s="196"/>
      <c r="D4" s="196"/>
      <c r="E4" s="197"/>
    </row>
    <row r="5" spans="1:13" ht="61.5" customHeight="1">
      <c r="A5" s="317" t="str">
        <f>'Planilha - PORTO SEGURO'!A5:I5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5" s="318"/>
      <c r="C5" s="318"/>
      <c r="D5" s="318"/>
      <c r="E5" s="319"/>
      <c r="F5" s="198"/>
      <c r="H5" s="159">
        <f>790.04+540.64</f>
        <v>1330.6799999999998</v>
      </c>
      <c r="I5" s="198" t="s">
        <v>39</v>
      </c>
    </row>
    <row r="6" spans="1:13" ht="12" customHeight="1">
      <c r="A6" s="199"/>
      <c r="B6" s="200"/>
      <c r="C6" s="201"/>
      <c r="D6" s="201"/>
      <c r="E6" s="202"/>
      <c r="F6" s="159" t="s">
        <v>105</v>
      </c>
      <c r="H6" s="203">
        <f>H10*H9</f>
        <v>159.16</v>
      </c>
      <c r="I6" s="159" t="s">
        <v>52</v>
      </c>
    </row>
    <row r="7" spans="1:13" ht="21.95" customHeight="1">
      <c r="A7" s="320" t="s">
        <v>322</v>
      </c>
      <c r="B7" s="320"/>
      <c r="C7" s="320"/>
      <c r="D7" s="320"/>
      <c r="E7" s="320"/>
      <c r="F7" s="159" t="s">
        <v>106</v>
      </c>
      <c r="H7" s="203">
        <v>0.2</v>
      </c>
      <c r="I7" s="159" t="s">
        <v>53</v>
      </c>
    </row>
    <row r="8" spans="1:13" ht="21.95" customHeight="1">
      <c r="A8" s="204">
        <f>'Planilha - PORTO SEGURO'!A20</f>
        <v>2</v>
      </c>
      <c r="B8" s="205" t="str">
        <f>'Planilha - PORTO SEGURO'!D20</f>
        <v>TERRAPLENAGEM</v>
      </c>
      <c r="C8" s="321"/>
      <c r="D8" s="321"/>
      <c r="E8" s="321"/>
      <c r="F8" s="159" t="s">
        <v>107</v>
      </c>
      <c r="H8" s="203">
        <f>H9*0.2</f>
        <v>159.16</v>
      </c>
      <c r="I8" s="159" t="s">
        <v>52</v>
      </c>
    </row>
    <row r="9" spans="1:13" ht="38.25">
      <c r="A9" s="206" t="str">
        <f>'Planilha - PORTO SEGURO'!A21</f>
        <v>2.1</v>
      </c>
      <c r="B9" s="207" t="str">
        <f>'Planilha - PORTO SEGURO'!D21</f>
        <v>Limpeza mecanizada de camada vegetal, vegetação e pequenas árvores (diâmetro de tronco menor que 0,20 m), com trator de esteiras.af_05/2018</v>
      </c>
      <c r="C9" s="25" t="str">
        <f>'Planilha - PORTO SEGURO'!E21</f>
        <v>m²</v>
      </c>
      <c r="D9" s="208" t="s">
        <v>111</v>
      </c>
      <c r="E9" s="209">
        <v>8363.64</v>
      </c>
      <c r="F9" s="198"/>
      <c r="H9" s="203">
        <v>795.8</v>
      </c>
      <c r="I9" s="159" t="s">
        <v>39</v>
      </c>
    </row>
    <row r="10" spans="1:13" ht="25.5">
      <c r="A10" s="206" t="str">
        <f>'Planilha - PORTO SEGURO'!A22</f>
        <v>2.2</v>
      </c>
      <c r="B10" s="207" t="str">
        <f>'Planilha - PORTO SEGURO'!D22</f>
        <v>regularização e compactação de subleito de solo predominantemente argiloso</v>
      </c>
      <c r="C10" s="25" t="str">
        <f>'Planilha - PORTO SEGURO'!E22</f>
        <v>m²</v>
      </c>
      <c r="D10" s="208" t="s">
        <v>111</v>
      </c>
      <c r="E10" s="209">
        <v>8363.64</v>
      </c>
      <c r="F10" s="159" t="s">
        <v>108</v>
      </c>
      <c r="H10" s="203">
        <v>0.2</v>
      </c>
      <c r="I10" s="159" t="s">
        <v>53</v>
      </c>
    </row>
    <row r="11" spans="1:13" ht="21.95" customHeight="1">
      <c r="A11" s="322"/>
      <c r="B11" s="322"/>
      <c r="C11" s="322"/>
      <c r="D11" s="322"/>
      <c r="E11" s="322"/>
    </row>
    <row r="12" spans="1:13" ht="21.95" customHeight="1">
      <c r="A12" s="204">
        <f>'Planilha - PORTO SEGURO'!A24</f>
        <v>3</v>
      </c>
      <c r="B12" s="205" t="str">
        <f>'Planilha - PORTO SEGURO'!D24</f>
        <v xml:space="preserve"> PAVIMENTAÇÃO EM PISO INTERTRAVADO E GUIAS</v>
      </c>
      <c r="C12" s="321"/>
      <c r="D12" s="321"/>
      <c r="E12" s="321"/>
    </row>
    <row r="13" spans="1:13" ht="25.5">
      <c r="A13" s="206" t="str">
        <f>'Planilha - PORTO SEGURO'!A25</f>
        <v>3.1</v>
      </c>
      <c r="B13" s="207" t="str">
        <f>'Planilha - PORTO SEGURO'!D25</f>
        <v>Demolição de lajes, de forma mecanizada com martelete, sem reaproveitamento</v>
      </c>
      <c r="C13" s="25" t="str">
        <f>'Planilha - PORTO SEGURO'!E25</f>
        <v>m³</v>
      </c>
      <c r="D13" s="208" t="s">
        <v>112</v>
      </c>
      <c r="E13" s="208">
        <v>418.18</v>
      </c>
      <c r="F13" s="198"/>
      <c r="I13" s="198"/>
      <c r="J13" s="198"/>
      <c r="L13" s="198"/>
      <c r="M13" s="198"/>
    </row>
    <row r="14" spans="1:13" ht="25.5">
      <c r="A14" s="206" t="str">
        <f>'Planilha - PORTO SEGURO'!A26</f>
        <v>3.2</v>
      </c>
      <c r="B14" s="207" t="str">
        <f>'Planilha - PORTO SEGURO'!D26</f>
        <v>escavação manual de vala com profundidade menor ou igual a 1,30 m c 02/2021</v>
      </c>
      <c r="C14" s="25" t="str">
        <f>'Planilha - PORTO SEGURO'!E26</f>
        <v>m³</v>
      </c>
      <c r="D14" s="208" t="s">
        <v>113</v>
      </c>
      <c r="E14" s="208">
        <v>43.4</v>
      </c>
      <c r="F14" s="198"/>
      <c r="I14" s="198"/>
      <c r="J14" s="198"/>
      <c r="L14" s="198"/>
      <c r="M14" s="198"/>
    </row>
    <row r="15" spans="1:13" ht="51">
      <c r="A15" s="206" t="str">
        <f>'Planilha - PORTO SEGURO'!A27</f>
        <v>3.3</v>
      </c>
      <c r="B15" s="207" t="str">
        <f>'Planilha - PORTO SEGURO'!D27</f>
        <v>Assentamento de guia (meio-fio) em trecho curvo, confeccionada em concreto pré-fabricado, dimensões 80x08x08x25 cm (comprimento x base inferior x base superior x altura), para urbanização.</v>
      </c>
      <c r="C15" s="25" t="str">
        <f>'Planilha - PORTO SEGURO'!E27</f>
        <v>m</v>
      </c>
      <c r="D15" s="208" t="s">
        <v>114</v>
      </c>
      <c r="E15" s="209">
        <v>1929.6</v>
      </c>
      <c r="I15" s="198"/>
      <c r="J15" s="198"/>
      <c r="M15" s="198"/>
    </row>
    <row r="16" spans="1:13" ht="25.5">
      <c r="A16" s="206" t="str">
        <f>'Planilha - PORTO SEGURO'!A28</f>
        <v>3.4</v>
      </c>
      <c r="B16" s="207" t="str">
        <f>'Planilha - PORTO SEGURO'!D28</f>
        <v>Reaterro manual apiloado com soquete</v>
      </c>
      <c r="C16" s="25" t="str">
        <f>'Planilha - PORTO SEGURO'!E28</f>
        <v>m³</v>
      </c>
      <c r="D16" s="208" t="s">
        <v>115</v>
      </c>
      <c r="E16" s="209">
        <v>20.25</v>
      </c>
      <c r="I16" s="198"/>
    </row>
    <row r="17" spans="1:9" ht="38.25">
      <c r="A17" s="206" t="str">
        <f>'Planilha - PORTO SEGURO'!A29</f>
        <v>3.5</v>
      </c>
      <c r="B17" s="207" t="str">
        <f>'Planilha - PORTO SEGURO'!D29</f>
        <v>Execução de passeio em piso intertravado, com bloco retangular colorido (vermelho) de 20 x 10  cm, espessura de 8 cm.</v>
      </c>
      <c r="C17" s="25" t="str">
        <f>'Planilha - PORTO SEGURO'!E29</f>
        <v>m²</v>
      </c>
      <c r="D17" s="208" t="s">
        <v>116</v>
      </c>
      <c r="E17" s="209">
        <v>1779.73</v>
      </c>
      <c r="I17" s="198"/>
    </row>
    <row r="18" spans="1:9" ht="25.5">
      <c r="A18" s="206" t="str">
        <f>'Planilha - PORTO SEGURO'!A30</f>
        <v>3.6</v>
      </c>
      <c r="B18" s="207" t="str">
        <f>'Planilha - PORTO SEGURO'!D30</f>
        <v>Execução de passeio em piso intertravado, com bloco retangular cor natural de 20 x 10  cm, espessura de 8 cm.</v>
      </c>
      <c r="C18" s="25" t="str">
        <f>'Planilha - PORTO SEGURO'!E30</f>
        <v>m²</v>
      </c>
      <c r="D18" s="208" t="s">
        <v>117</v>
      </c>
      <c r="E18" s="209">
        <v>6583.91</v>
      </c>
      <c r="I18" s="198"/>
    </row>
    <row r="19" spans="1:9" ht="21.95" customHeight="1">
      <c r="A19" s="322"/>
      <c r="B19" s="322"/>
      <c r="C19" s="322"/>
      <c r="D19" s="322"/>
      <c r="E19" s="322"/>
    </row>
    <row r="20" spans="1:9" ht="20.100000000000001" customHeight="1">
      <c r="A20" s="204">
        <f>'Planilha - PORTO SEGURO'!A32</f>
        <v>4</v>
      </c>
      <c r="B20" s="205" t="str">
        <f>'Planilha - PORTO SEGURO'!D32</f>
        <v>LIMPEZA DE RUAS</v>
      </c>
      <c r="C20" s="321"/>
      <c r="D20" s="321"/>
      <c r="E20" s="321"/>
    </row>
    <row r="21" spans="1:9">
      <c r="A21" s="206" t="str">
        <f>'Planilha - PORTO SEGURO'!A33</f>
        <v>4.1</v>
      </c>
      <c r="B21" s="207" t="str">
        <f>'Planilha - PORTO SEGURO'!D33</f>
        <v>Limpeza de ruas (varrição e remoção de entulhos)</v>
      </c>
      <c r="C21" s="206" t="str">
        <f>'Planilha - PORTO SEGURO'!E33</f>
        <v>m²</v>
      </c>
      <c r="D21" s="208" t="s">
        <v>109</v>
      </c>
      <c r="E21" s="209">
        <v>8363.64</v>
      </c>
      <c r="F21" s="159">
        <v>7</v>
      </c>
    </row>
    <row r="22" spans="1:9" ht="21.95" customHeight="1">
      <c r="A22" s="322"/>
      <c r="B22" s="322"/>
      <c r="C22" s="322"/>
      <c r="D22" s="322"/>
      <c r="E22" s="322"/>
    </row>
    <row r="23" spans="1:9" ht="20.100000000000001" customHeight="1">
      <c r="A23" s="204">
        <f>'Planilha - PORTO SEGURO'!A35</f>
        <v>5</v>
      </c>
      <c r="B23" s="205" t="str">
        <f>'Planilha - PORTO SEGURO'!D35</f>
        <v>DIVERSOS</v>
      </c>
      <c r="C23" s="321"/>
      <c r="D23" s="321"/>
      <c r="E23" s="321"/>
    </row>
    <row r="24" spans="1:9" ht="25.5">
      <c r="A24" s="206" t="str">
        <f>'Planilha - PORTO SEGURO'!A36</f>
        <v>5.1</v>
      </c>
      <c r="B24" s="207" t="str">
        <f>'Planilha - PORTO SEGURO'!D36</f>
        <v>Conjunto com 03 lixeiras em fibra de vidro, com capacidade de 20 L cada, com tampa vai e vem</v>
      </c>
      <c r="C24" s="206" t="str">
        <f>'Planilha - PORTO SEGURO'!E36</f>
        <v>m²</v>
      </c>
      <c r="D24" s="208" t="s">
        <v>109</v>
      </c>
      <c r="E24" s="209">
        <v>12</v>
      </c>
      <c r="F24" s="159">
        <v>7</v>
      </c>
    </row>
    <row r="25" spans="1:9" ht="33" customHeight="1">
      <c r="A25" s="323" t="s">
        <v>110</v>
      </c>
      <c r="B25" s="323"/>
      <c r="C25" s="323"/>
      <c r="D25" s="323"/>
      <c r="E25" s="323"/>
    </row>
  </sheetData>
  <mergeCells count="13">
    <mergeCell ref="A22:E22"/>
    <mergeCell ref="C23:E23"/>
    <mergeCell ref="A25:E25"/>
    <mergeCell ref="C8:E8"/>
    <mergeCell ref="A11:E11"/>
    <mergeCell ref="C12:E12"/>
    <mergeCell ref="A19:E19"/>
    <mergeCell ref="C20:E20"/>
    <mergeCell ref="B1:E1"/>
    <mergeCell ref="B2:E2"/>
    <mergeCell ref="B3:E3"/>
    <mergeCell ref="A5:E5"/>
    <mergeCell ref="A7:E7"/>
  </mergeCells>
  <printOptions horizontalCentered="1"/>
  <pageMargins left="0.511811023622047" right="0.511811023622047" top="0.98425196850393704" bottom="0.78740157480314998" header="0.31496062992126" footer="0.31496062992126"/>
  <pageSetup paperSize="9" scale="65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showGridLines="0" view="pageBreakPreview" zoomScale="106" zoomScaleNormal="100" zoomScaleSheetLayoutView="106" workbookViewId="0">
      <selection activeCell="A6" sqref="A6"/>
    </sheetView>
  </sheetViews>
  <sheetFormatPr defaultColWidth="9.140625" defaultRowHeight="12.75"/>
  <cols>
    <col min="1" max="1" width="9.140625" style="160"/>
    <col min="2" max="2" width="27.5703125" style="160" customWidth="1"/>
    <col min="3" max="6" width="9.140625" style="160"/>
    <col min="7" max="7" width="14.42578125" style="160" customWidth="1"/>
    <col min="8" max="10" width="9.140625" style="160"/>
    <col min="11" max="11" width="8.28515625" style="160" customWidth="1"/>
    <col min="12" max="16384" width="9.140625" style="160"/>
  </cols>
  <sheetData>
    <row r="1" spans="1:14" s="159" customFormat="1" ht="12.75" customHeight="1">
      <c r="A1" s="332" t="s">
        <v>96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4"/>
    </row>
    <row r="2" spans="1:14" s="159" customFormat="1" ht="12.75" customHeight="1">
      <c r="A2" s="332" t="s">
        <v>118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4"/>
    </row>
    <row r="3" spans="1:14" s="159" customFormat="1" ht="12.75" customHeight="1">
      <c r="A3" s="332" t="s">
        <v>98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4"/>
    </row>
    <row r="4" spans="1:14">
      <c r="A4" s="161"/>
      <c r="B4" s="162"/>
      <c r="C4" s="162"/>
      <c r="D4" s="163"/>
      <c r="E4" s="163"/>
      <c r="F4" s="164"/>
      <c r="G4" s="165"/>
      <c r="H4" s="165"/>
      <c r="I4" s="165"/>
      <c r="J4" s="165"/>
      <c r="K4" s="165"/>
      <c r="L4" s="165"/>
      <c r="M4" s="165"/>
      <c r="N4" s="190"/>
    </row>
    <row r="5" spans="1:14" ht="59.25" customHeight="1">
      <c r="A5" s="335" t="str">
        <f>'Planilha - PORTO SEGURO'!A5:I5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36"/>
    </row>
    <row r="6" spans="1:14">
      <c r="A6" s="166"/>
      <c r="B6" s="167"/>
      <c r="C6" s="167"/>
      <c r="D6" s="168"/>
      <c r="E6" s="169"/>
      <c r="F6" s="170"/>
      <c r="G6" s="170"/>
      <c r="H6" s="170"/>
      <c r="I6" s="170"/>
      <c r="J6" s="165"/>
      <c r="K6" s="165"/>
      <c r="L6" s="165"/>
      <c r="M6" s="165"/>
      <c r="N6" s="190"/>
    </row>
    <row r="7" spans="1:14" ht="26.25" customHeight="1">
      <c r="A7" s="329" t="s">
        <v>119</v>
      </c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1"/>
    </row>
    <row r="8" spans="1:14" ht="12.75" customHeight="1">
      <c r="A8" s="329"/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1"/>
    </row>
    <row r="9" spans="1:14">
      <c r="A9" s="171"/>
      <c r="B9" s="172"/>
      <c r="C9" s="337" t="s">
        <v>323</v>
      </c>
      <c r="D9" s="337"/>
      <c r="E9" s="337"/>
      <c r="F9" s="337"/>
      <c r="G9" s="337"/>
      <c r="H9" s="337"/>
      <c r="I9" s="337"/>
      <c r="J9" s="337"/>
      <c r="K9" s="165"/>
      <c r="L9" s="165"/>
      <c r="M9" s="165"/>
      <c r="N9" s="190"/>
    </row>
    <row r="10" spans="1:14" ht="20.25">
      <c r="A10" s="324"/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6"/>
    </row>
    <row r="11" spans="1:14" ht="23.25">
      <c r="A11" s="173"/>
      <c r="B11" s="174"/>
      <c r="C11" s="174"/>
      <c r="D11" s="174"/>
      <c r="E11" s="174"/>
      <c r="F11" s="174"/>
      <c r="G11" s="165"/>
      <c r="H11" s="165"/>
      <c r="I11" s="165"/>
      <c r="J11" s="165"/>
      <c r="K11" s="165"/>
      <c r="L11" s="165"/>
      <c r="M11" s="165"/>
      <c r="N11" s="190"/>
    </row>
    <row r="12" spans="1:14">
      <c r="A12" s="175" t="s">
        <v>120</v>
      </c>
      <c r="B12" s="176"/>
      <c r="C12" s="177" t="s">
        <v>121</v>
      </c>
      <c r="D12" s="176"/>
      <c r="E12" s="178"/>
      <c r="F12" s="178"/>
      <c r="G12" s="165"/>
      <c r="H12" s="165"/>
      <c r="I12" s="165"/>
      <c r="J12" s="165"/>
      <c r="K12" s="165"/>
      <c r="L12" s="165"/>
      <c r="M12" s="165"/>
      <c r="N12" s="190"/>
    </row>
    <row r="13" spans="1:14">
      <c r="A13" s="175" t="s">
        <v>122</v>
      </c>
      <c r="B13" s="176"/>
      <c r="C13" s="177" t="s">
        <v>134</v>
      </c>
      <c r="D13" s="176"/>
      <c r="E13" s="178"/>
      <c r="F13" s="178"/>
      <c r="G13" s="165"/>
      <c r="H13" s="165"/>
      <c r="I13" s="165"/>
      <c r="J13" s="165"/>
      <c r="K13" s="165"/>
      <c r="L13" s="165"/>
      <c r="M13" s="165"/>
      <c r="N13" s="190"/>
    </row>
    <row r="14" spans="1:14">
      <c r="A14" s="179" t="s">
        <v>123</v>
      </c>
      <c r="B14" s="180"/>
      <c r="C14" s="181">
        <v>385</v>
      </c>
      <c r="D14" s="180" t="s">
        <v>124</v>
      </c>
      <c r="E14" s="165"/>
      <c r="F14" s="165"/>
      <c r="G14" s="165"/>
      <c r="H14" s="165"/>
      <c r="I14" s="165"/>
      <c r="J14" s="165"/>
      <c r="K14" s="165"/>
      <c r="L14" s="165"/>
      <c r="M14" s="165"/>
      <c r="N14" s="190"/>
    </row>
    <row r="15" spans="1:14">
      <c r="A15" s="179"/>
      <c r="B15" s="180"/>
      <c r="C15" s="182"/>
      <c r="D15" s="180"/>
      <c r="E15" s="165"/>
      <c r="F15" s="165"/>
      <c r="G15" s="165"/>
      <c r="H15" s="165"/>
      <c r="I15" s="165"/>
      <c r="J15" s="165"/>
      <c r="K15" s="165"/>
      <c r="L15" s="165"/>
      <c r="M15" s="165"/>
      <c r="N15" s="190"/>
    </row>
    <row r="16" spans="1:14">
      <c r="A16" s="179" t="s">
        <v>125</v>
      </c>
      <c r="B16" s="180"/>
      <c r="C16" s="183">
        <f>SUM(C14:C15)</f>
        <v>385</v>
      </c>
      <c r="D16" s="180" t="s">
        <v>124</v>
      </c>
      <c r="E16" s="165"/>
      <c r="F16" s="165"/>
      <c r="G16" s="165"/>
      <c r="H16" s="165"/>
      <c r="I16" s="165"/>
      <c r="J16" s="165"/>
      <c r="K16" s="165"/>
      <c r="L16" s="165"/>
      <c r="M16" s="165"/>
      <c r="N16" s="190"/>
    </row>
    <row r="17" spans="1:14">
      <c r="A17" s="179"/>
      <c r="B17" s="180"/>
      <c r="C17" s="180"/>
      <c r="D17" s="180"/>
      <c r="E17" s="165"/>
      <c r="F17" s="165"/>
      <c r="G17" s="165"/>
      <c r="H17" s="165"/>
      <c r="I17" s="165"/>
      <c r="J17" s="165"/>
      <c r="K17" s="165"/>
      <c r="L17" s="165"/>
      <c r="M17" s="165"/>
      <c r="N17" s="190"/>
    </row>
    <row r="18" spans="1:14">
      <c r="A18" s="179" t="s">
        <v>126</v>
      </c>
      <c r="B18" s="180"/>
      <c r="C18" s="180" t="s">
        <v>130</v>
      </c>
      <c r="D18" s="180"/>
      <c r="F18" s="180"/>
      <c r="G18" s="180"/>
      <c r="H18" s="181">
        <v>7.2</v>
      </c>
      <c r="I18" s="180" t="s">
        <v>128</v>
      </c>
      <c r="J18" s="165"/>
      <c r="K18" s="165"/>
      <c r="L18" s="165"/>
      <c r="M18" s="165"/>
      <c r="N18" s="190"/>
    </row>
    <row r="19" spans="1:14">
      <c r="A19" s="179" t="s">
        <v>126</v>
      </c>
      <c r="B19" s="180"/>
      <c r="C19" s="180" t="s">
        <v>127</v>
      </c>
      <c r="D19" s="180"/>
      <c r="F19" s="180"/>
      <c r="G19" s="180"/>
      <c r="H19" s="181">
        <v>2.4</v>
      </c>
      <c r="I19" s="180" t="s">
        <v>128</v>
      </c>
      <c r="J19" s="165"/>
      <c r="K19" s="165"/>
      <c r="L19" s="165"/>
      <c r="M19" s="165"/>
      <c r="N19" s="190"/>
    </row>
    <row r="20" spans="1:14">
      <c r="A20" s="179" t="s">
        <v>126</v>
      </c>
      <c r="B20" s="180"/>
      <c r="C20" s="180" t="s">
        <v>129</v>
      </c>
      <c r="D20" s="180"/>
      <c r="F20" s="180"/>
      <c r="G20" s="180"/>
      <c r="H20" s="181">
        <v>11.5</v>
      </c>
      <c r="I20" s="180" t="s">
        <v>128</v>
      </c>
      <c r="J20" s="165"/>
      <c r="K20" s="165"/>
      <c r="L20" s="165"/>
      <c r="M20" s="165"/>
      <c r="N20" s="190"/>
    </row>
    <row r="21" spans="1:14">
      <c r="A21" s="179" t="s">
        <v>126</v>
      </c>
      <c r="B21" s="180"/>
      <c r="C21" s="180" t="s">
        <v>131</v>
      </c>
      <c r="D21" s="180"/>
      <c r="F21" s="180"/>
      <c r="G21" s="180"/>
      <c r="H21" s="181">
        <v>10.4</v>
      </c>
      <c r="I21" s="180" t="s">
        <v>128</v>
      </c>
      <c r="J21" s="165"/>
      <c r="K21" s="165"/>
      <c r="L21" s="165"/>
      <c r="M21" s="165"/>
      <c r="N21" s="190"/>
    </row>
    <row r="22" spans="1:14">
      <c r="A22" s="184"/>
      <c r="B22" s="165"/>
      <c r="C22" s="165"/>
      <c r="D22" s="165"/>
      <c r="E22" s="180"/>
      <c r="F22" s="180"/>
      <c r="G22" s="180"/>
      <c r="H22" s="185"/>
      <c r="I22" s="180"/>
      <c r="J22" s="165"/>
      <c r="K22" s="165"/>
      <c r="L22" s="165"/>
      <c r="M22" s="165"/>
      <c r="N22" s="190"/>
    </row>
    <row r="23" spans="1:14">
      <c r="A23" s="184"/>
      <c r="B23" s="165"/>
      <c r="C23" s="165"/>
      <c r="D23" s="165"/>
      <c r="E23" s="186" t="s">
        <v>132</v>
      </c>
      <c r="F23" s="180"/>
      <c r="G23" s="180"/>
      <c r="H23" s="183">
        <f>SUM(H18:H21)</f>
        <v>31.5</v>
      </c>
      <c r="I23" s="180" t="s">
        <v>128</v>
      </c>
      <c r="J23" s="165"/>
      <c r="K23" s="165"/>
      <c r="L23" s="165"/>
      <c r="M23" s="165"/>
      <c r="N23" s="191"/>
    </row>
    <row r="24" spans="1:14">
      <c r="A24" s="184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90"/>
    </row>
    <row r="25" spans="1:14">
      <c r="A25" s="184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90"/>
    </row>
    <row r="26" spans="1:14" ht="15.75">
      <c r="A26" s="187" t="str">
        <f>"Momento de transporte  =  "&amp;TEXT(H23,"0,00")&amp;"  x  "&amp;TEXT(C16,"0,00")&amp;"            =&gt;"</f>
        <v>Momento de transporte  =  31,50  x  385,00            =&gt;</v>
      </c>
      <c r="B26" s="188"/>
      <c r="C26" s="188"/>
      <c r="D26" s="188"/>
      <c r="E26" s="188"/>
      <c r="F26" s="327">
        <f>ROUND(C16*H23,2)</f>
        <v>12127.5</v>
      </c>
      <c r="G26" s="328"/>
      <c r="H26" s="189" t="s">
        <v>133</v>
      </c>
      <c r="I26" s="188"/>
      <c r="J26" s="188"/>
      <c r="K26" s="188"/>
      <c r="L26" s="188"/>
      <c r="M26" s="188"/>
      <c r="N26" s="192"/>
    </row>
  </sheetData>
  <mergeCells count="8">
    <mergeCell ref="A10:N10"/>
    <mergeCell ref="F26:G26"/>
    <mergeCell ref="A7:N8"/>
    <mergeCell ref="A1:N1"/>
    <mergeCell ref="A2:N2"/>
    <mergeCell ref="A3:N3"/>
    <mergeCell ref="A5:N5"/>
    <mergeCell ref="C9:J9"/>
  </mergeCells>
  <printOptions horizontalCentered="1"/>
  <pageMargins left="0.511811023622047" right="0.511811023622047" top="0.78740157480314998" bottom="0.78740157480314998" header="0.31496062992126" footer="0.31496062992126"/>
  <pageSetup scale="8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54"/>
  <sheetViews>
    <sheetView view="pageBreakPreview" zoomScaleNormal="100" zoomScaleSheetLayoutView="100" workbookViewId="0">
      <selection activeCell="B21" sqref="B21"/>
    </sheetView>
  </sheetViews>
  <sheetFormatPr defaultColWidth="9" defaultRowHeight="12.75"/>
  <cols>
    <col min="1" max="3" width="13.28515625" customWidth="1"/>
    <col min="4" max="4" width="52.7109375" customWidth="1"/>
    <col min="6" max="6" width="18.42578125" customWidth="1"/>
    <col min="7" max="7" width="19.7109375" customWidth="1"/>
    <col min="8" max="8" width="19.42578125" customWidth="1"/>
    <col min="10" max="10" width="12.85546875"/>
  </cols>
  <sheetData>
    <row r="1" spans="1:8">
      <c r="A1" s="1"/>
      <c r="B1" s="2"/>
      <c r="C1" s="2"/>
      <c r="D1" s="356" t="s">
        <v>324</v>
      </c>
      <c r="E1" s="357"/>
      <c r="F1" s="357"/>
      <c r="G1" s="357"/>
      <c r="H1" s="358"/>
    </row>
    <row r="2" spans="1:8">
      <c r="A2" s="3"/>
      <c r="B2" s="4"/>
      <c r="C2" s="4"/>
      <c r="D2" s="359" t="s">
        <v>136</v>
      </c>
      <c r="E2" s="360"/>
      <c r="F2" s="360"/>
      <c r="G2" s="360"/>
      <c r="H2" s="361"/>
    </row>
    <row r="3" spans="1:8">
      <c r="A3" s="3"/>
      <c r="B3" s="4"/>
      <c r="C3" s="4"/>
      <c r="D3" s="359" t="s">
        <v>137</v>
      </c>
      <c r="E3" s="360"/>
      <c r="F3" s="360"/>
      <c r="G3" s="360"/>
      <c r="H3" s="361"/>
    </row>
    <row r="4" spans="1:8">
      <c r="A4" s="3"/>
      <c r="B4" s="4"/>
      <c r="C4" s="4"/>
      <c r="D4" s="4"/>
      <c r="E4" s="4"/>
      <c r="F4" s="4"/>
      <c r="G4" s="4"/>
      <c r="H4" s="5"/>
    </row>
    <row r="5" spans="1:8" ht="15.75">
      <c r="A5" s="362" t="s">
        <v>330</v>
      </c>
      <c r="B5" s="363"/>
      <c r="C5" s="363"/>
      <c r="D5" s="363"/>
      <c r="E5" s="363"/>
      <c r="F5" s="363"/>
      <c r="G5" s="363"/>
      <c r="H5" s="364"/>
    </row>
    <row r="6" spans="1:8" ht="15.75">
      <c r="A6" s="6"/>
      <c r="B6" s="7"/>
      <c r="C6" s="7"/>
      <c r="D6" s="7"/>
      <c r="E6" s="7"/>
      <c r="F6" s="7"/>
      <c r="G6" s="7"/>
      <c r="H6" s="8"/>
    </row>
    <row r="7" spans="1:8" ht="42.95" customHeight="1">
      <c r="A7" s="365" t="str">
        <f>'Planilha - PORTO SEGURO'!A5:I5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7" s="366"/>
      <c r="C7" s="366"/>
      <c r="D7" s="366"/>
      <c r="E7" s="366"/>
      <c r="F7" s="366"/>
      <c r="G7" s="366"/>
      <c r="H7" s="367"/>
    </row>
    <row r="8" spans="1:8" ht="15.75">
      <c r="A8" s="6"/>
      <c r="B8" s="7"/>
      <c r="C8" s="7"/>
      <c r="D8" s="7"/>
      <c r="E8" s="7"/>
      <c r="F8" s="7"/>
      <c r="G8" s="7"/>
      <c r="H8" s="8"/>
    </row>
    <row r="9" spans="1:8" ht="21.95" customHeight="1">
      <c r="A9" s="3"/>
      <c r="B9" s="4"/>
      <c r="C9" s="7"/>
      <c r="D9" s="7"/>
      <c r="E9" s="4"/>
      <c r="F9" s="368" t="s">
        <v>138</v>
      </c>
      <c r="G9" s="369"/>
      <c r="H9" s="9">
        <f>BDI!D36</f>
        <v>0.21378112315270936</v>
      </c>
    </row>
    <row r="10" spans="1:8" ht="21.95" customHeight="1">
      <c r="A10" s="3"/>
      <c r="B10" s="4"/>
      <c r="C10" s="7"/>
      <c r="D10" s="7"/>
      <c r="E10" s="4"/>
      <c r="F10" s="370" t="s">
        <v>139</v>
      </c>
      <c r="G10" s="371"/>
      <c r="H10" s="10">
        <f>'ENC SOCIAIS'!F52</f>
        <v>1.1446999999999998</v>
      </c>
    </row>
    <row r="11" spans="1:8" ht="21.95" customHeight="1">
      <c r="A11" s="11" t="s">
        <v>7</v>
      </c>
      <c r="B11" s="293" t="s">
        <v>320</v>
      </c>
      <c r="C11" s="293"/>
      <c r="D11" s="293"/>
      <c r="E11" s="4"/>
      <c r="F11" s="372" t="s">
        <v>257</v>
      </c>
      <c r="G11" s="373"/>
      <c r="H11" s="374"/>
    </row>
    <row r="12" spans="1:8" ht="15" customHeight="1">
      <c r="A12" s="3"/>
      <c r="B12" s="4"/>
      <c r="C12" s="4"/>
      <c r="D12" s="4"/>
      <c r="E12" s="4"/>
      <c r="F12" s="4"/>
      <c r="G12" s="4"/>
      <c r="H12" s="5"/>
    </row>
    <row r="13" spans="1:8" ht="27.95" customHeight="1">
      <c r="A13" s="139" t="s">
        <v>149</v>
      </c>
      <c r="B13" s="139" t="s">
        <v>140</v>
      </c>
      <c r="C13" s="139" t="s">
        <v>11</v>
      </c>
      <c r="D13" s="140" t="s">
        <v>150</v>
      </c>
      <c r="E13" s="139" t="s">
        <v>13</v>
      </c>
      <c r="F13" s="141" t="s">
        <v>14</v>
      </c>
      <c r="G13" s="141" t="s">
        <v>141</v>
      </c>
      <c r="H13" s="141" t="s">
        <v>142</v>
      </c>
    </row>
    <row r="14" spans="1:8" ht="21.95" customHeight="1">
      <c r="A14" s="142" t="s">
        <v>143</v>
      </c>
      <c r="B14" s="142" t="s">
        <v>25</v>
      </c>
      <c r="C14" s="142">
        <v>90776</v>
      </c>
      <c r="D14" s="143" t="s">
        <v>144</v>
      </c>
      <c r="E14" s="142" t="s">
        <v>146</v>
      </c>
      <c r="F14" s="144">
        <v>176</v>
      </c>
      <c r="G14" s="152">
        <v>31.19</v>
      </c>
      <c r="H14" s="145">
        <f>ROUND(F14*G14,2)</f>
        <v>5489.44</v>
      </c>
    </row>
    <row r="15" spans="1:8" ht="24">
      <c r="A15" s="142" t="s">
        <v>143</v>
      </c>
      <c r="B15" s="142" t="s">
        <v>25</v>
      </c>
      <c r="C15" s="142">
        <v>90777</v>
      </c>
      <c r="D15" s="143" t="s">
        <v>145</v>
      </c>
      <c r="E15" s="142" t="s">
        <v>146</v>
      </c>
      <c r="F15" s="144">
        <v>36</v>
      </c>
      <c r="G15" s="152">
        <v>93.77</v>
      </c>
      <c r="H15" s="145">
        <f>ROUND(F15*G15,2)</f>
        <v>3375.72</v>
      </c>
    </row>
    <row r="16" spans="1:8" ht="21.95" customHeight="1">
      <c r="A16" s="3"/>
      <c r="B16" s="4"/>
      <c r="C16" s="4"/>
      <c r="D16" s="4"/>
      <c r="E16" s="375" t="s">
        <v>147</v>
      </c>
      <c r="F16" s="376"/>
      <c r="G16" s="377"/>
      <c r="H16" s="146">
        <f>ROUND(SUM(H14:H15),2)</f>
        <v>8865.16</v>
      </c>
    </row>
    <row r="17" spans="1:10" ht="21.95" customHeight="1">
      <c r="A17" s="3"/>
      <c r="B17" s="4"/>
      <c r="C17" s="4"/>
      <c r="D17" s="4"/>
      <c r="E17" s="378">
        <f>$H$9</f>
        <v>0.21378112315270936</v>
      </c>
      <c r="F17" s="376"/>
      <c r="G17" s="377"/>
      <c r="H17" s="147">
        <f>ROUND((E17*H16),2)</f>
        <v>1895.2</v>
      </c>
    </row>
    <row r="18" spans="1:10" ht="21.95" customHeight="1">
      <c r="A18" s="3"/>
      <c r="B18" s="4"/>
      <c r="C18" s="4"/>
      <c r="D18" s="4"/>
      <c r="E18" s="375" t="s">
        <v>147</v>
      </c>
      <c r="F18" s="376"/>
      <c r="G18" s="377"/>
      <c r="H18" s="146">
        <f>ROUND(H16+H17,2)</f>
        <v>10760.36</v>
      </c>
    </row>
    <row r="19" spans="1:10" ht="21.95" customHeight="1">
      <c r="A19" s="3"/>
      <c r="B19" s="4"/>
      <c r="C19" s="4"/>
      <c r="D19" s="4"/>
      <c r="E19" s="375" t="s">
        <v>151</v>
      </c>
      <c r="F19" s="376"/>
      <c r="G19" s="377"/>
      <c r="H19" s="148">
        <f>ROUND(H18*4,2)</f>
        <v>43041.440000000002</v>
      </c>
    </row>
    <row r="20" spans="1:10" ht="21.95" customHeight="1">
      <c r="A20" s="3"/>
      <c r="B20" s="4"/>
      <c r="C20" s="4"/>
      <c r="D20" s="4"/>
      <c r="E20" s="375" t="s">
        <v>148</v>
      </c>
      <c r="F20" s="376"/>
      <c r="G20" s="377"/>
      <c r="H20" s="149">
        <f>H19</f>
        <v>43041.440000000002</v>
      </c>
      <c r="J20" s="153">
        <f>H20/'Planilha - PORTO SEGURO'!J39</f>
        <v>4.3049077336810321E-2</v>
      </c>
    </row>
    <row r="21" spans="1:10" ht="21.95" customHeight="1">
      <c r="A21" s="3"/>
      <c r="B21" s="4"/>
      <c r="C21" s="4"/>
      <c r="D21" s="4"/>
      <c r="E21" s="4"/>
      <c r="F21" s="4"/>
      <c r="G21" s="4"/>
      <c r="H21" s="5"/>
    </row>
    <row r="22" spans="1:10" ht="21.95" customHeight="1">
      <c r="A22" s="379"/>
      <c r="B22" s="380"/>
      <c r="C22" s="380"/>
      <c r="D22" s="380"/>
      <c r="E22" s="380"/>
      <c r="F22" s="380"/>
      <c r="G22" s="380"/>
      <c r="H22" s="381"/>
    </row>
    <row r="23" spans="1:10" ht="43.5" customHeight="1">
      <c r="A23" s="139" t="s">
        <v>71</v>
      </c>
      <c r="B23" s="139" t="s">
        <v>140</v>
      </c>
      <c r="C23" s="139" t="s">
        <v>11</v>
      </c>
      <c r="D23" s="140" t="s">
        <v>159</v>
      </c>
      <c r="E23" s="139" t="s">
        <v>13</v>
      </c>
      <c r="F23" s="141" t="s">
        <v>14</v>
      </c>
      <c r="G23" s="141" t="s">
        <v>141</v>
      </c>
      <c r="H23" s="141" t="s">
        <v>142</v>
      </c>
    </row>
    <row r="24" spans="1:10" ht="24">
      <c r="A24" s="142" t="s">
        <v>143</v>
      </c>
      <c r="B24" s="142" t="s">
        <v>55</v>
      </c>
      <c r="C24" s="150" t="s">
        <v>152</v>
      </c>
      <c r="D24" s="143" t="s">
        <v>153</v>
      </c>
      <c r="E24" s="142" t="s">
        <v>154</v>
      </c>
      <c r="F24" s="151">
        <v>1.5</v>
      </c>
      <c r="G24" s="152">
        <v>213.5</v>
      </c>
      <c r="H24" s="145">
        <f>ROUND(F24*G24,2)</f>
        <v>320.25</v>
      </c>
    </row>
    <row r="25" spans="1:10" ht="24">
      <c r="A25" s="142" t="s">
        <v>143</v>
      </c>
      <c r="B25" s="142" t="s">
        <v>55</v>
      </c>
      <c r="C25" s="150" t="s">
        <v>155</v>
      </c>
      <c r="D25" s="143" t="s">
        <v>156</v>
      </c>
      <c r="E25" s="142" t="s">
        <v>154</v>
      </c>
      <c r="F25" s="151">
        <v>1.5</v>
      </c>
      <c r="G25" s="152">
        <v>251.03</v>
      </c>
      <c r="H25" s="145">
        <f>ROUND(F25*G25,2)</f>
        <v>376.55</v>
      </c>
    </row>
    <row r="26" spans="1:10" ht="36">
      <c r="A26" s="142" t="s">
        <v>143</v>
      </c>
      <c r="B26" s="142" t="s">
        <v>55</v>
      </c>
      <c r="C26" s="150">
        <v>5914640</v>
      </c>
      <c r="D26" s="143" t="s">
        <v>157</v>
      </c>
      <c r="E26" s="142" t="s">
        <v>158</v>
      </c>
      <c r="F26" s="151">
        <f>'Mobilização - PORTO SEGURO'!F26:G26</f>
        <v>12127.5</v>
      </c>
      <c r="G26" s="152">
        <v>0.41</v>
      </c>
      <c r="H26" s="145">
        <f>ROUND(F26*G26,2)</f>
        <v>4972.28</v>
      </c>
    </row>
    <row r="27" spans="1:10" ht="21.95" customHeight="1">
      <c r="A27" s="3"/>
      <c r="B27" s="4"/>
      <c r="C27" s="4"/>
      <c r="D27" s="4"/>
      <c r="E27" s="375" t="s">
        <v>147</v>
      </c>
      <c r="F27" s="376"/>
      <c r="G27" s="377"/>
      <c r="H27" s="146">
        <f>SUM(H24:H26)</f>
        <v>5669.08</v>
      </c>
    </row>
    <row r="28" spans="1:10" ht="21.95" customHeight="1">
      <c r="A28" s="3"/>
      <c r="B28" s="4"/>
      <c r="C28" s="4"/>
      <c r="D28" s="4"/>
      <c r="E28" s="378">
        <f>$H$9</f>
        <v>0.21378112315270936</v>
      </c>
      <c r="F28" s="376"/>
      <c r="G28" s="377"/>
      <c r="H28" s="147">
        <f>ROUND((E28*H27),2)</f>
        <v>1211.94</v>
      </c>
    </row>
    <row r="29" spans="1:10" ht="21.95" customHeight="1">
      <c r="A29" s="3"/>
      <c r="B29" s="4"/>
      <c r="C29" s="4"/>
      <c r="D29" s="4"/>
      <c r="E29" s="375" t="s">
        <v>148</v>
      </c>
      <c r="F29" s="376"/>
      <c r="G29" s="377"/>
      <c r="H29" s="149">
        <f>ROUND(SUM(H27:H28),2)</f>
        <v>6881.02</v>
      </c>
    </row>
    <row r="30" spans="1:10" ht="35.25" customHeight="1">
      <c r="A30" s="139" t="s">
        <v>37</v>
      </c>
      <c r="B30" s="139" t="s">
        <v>140</v>
      </c>
      <c r="C30" s="139" t="s">
        <v>11</v>
      </c>
      <c r="D30" s="140" t="s">
        <v>160</v>
      </c>
      <c r="E30" s="139" t="s">
        <v>13</v>
      </c>
      <c r="F30" s="141" t="s">
        <v>14</v>
      </c>
      <c r="G30" s="141" t="s">
        <v>141</v>
      </c>
      <c r="H30" s="141" t="s">
        <v>142</v>
      </c>
    </row>
    <row r="31" spans="1:10">
      <c r="A31" s="142" t="s">
        <v>161</v>
      </c>
      <c r="B31" s="142" t="s">
        <v>25</v>
      </c>
      <c r="C31" s="142">
        <v>5075</v>
      </c>
      <c r="D31" s="143" t="s">
        <v>162</v>
      </c>
      <c r="E31" s="142" t="s">
        <v>163</v>
      </c>
      <c r="F31" s="151">
        <v>0.11</v>
      </c>
      <c r="G31" s="152">
        <v>19.73</v>
      </c>
      <c r="H31" s="145">
        <f t="shared" ref="H31:H40" si="0">ROUND(F31*G31,2)</f>
        <v>2.17</v>
      </c>
    </row>
    <row r="32" spans="1:10" ht="27" customHeight="1">
      <c r="A32" s="142" t="s">
        <v>161</v>
      </c>
      <c r="B32" s="142" t="s">
        <v>25</v>
      </c>
      <c r="C32" s="142">
        <v>4491</v>
      </c>
      <c r="D32" s="143" t="s">
        <v>164</v>
      </c>
      <c r="E32" s="142" t="s">
        <v>53</v>
      </c>
      <c r="F32" s="151">
        <v>4</v>
      </c>
      <c r="G32" s="152">
        <v>8.83</v>
      </c>
      <c r="H32" s="145">
        <f t="shared" si="0"/>
        <v>35.32</v>
      </c>
    </row>
    <row r="33" spans="1:8" ht="27" customHeight="1">
      <c r="A33" s="142" t="s">
        <v>161</v>
      </c>
      <c r="B33" s="142" t="s">
        <v>25</v>
      </c>
      <c r="C33" s="142">
        <v>4417</v>
      </c>
      <c r="D33" s="143" t="s">
        <v>165</v>
      </c>
      <c r="E33" s="142" t="s">
        <v>53</v>
      </c>
      <c r="F33" s="151">
        <v>1</v>
      </c>
      <c r="G33" s="152">
        <v>8.9499999999999993</v>
      </c>
      <c r="H33" s="145">
        <f t="shared" si="0"/>
        <v>8.9499999999999993</v>
      </c>
    </row>
    <row r="34" spans="1:8" ht="27" customHeight="1">
      <c r="A34" s="142" t="s">
        <v>161</v>
      </c>
      <c r="B34" s="142" t="s">
        <v>25</v>
      </c>
      <c r="C34" s="142">
        <v>4813</v>
      </c>
      <c r="D34" s="143" t="s">
        <v>166</v>
      </c>
      <c r="E34" s="142" t="s">
        <v>39</v>
      </c>
      <c r="F34" s="151">
        <v>1</v>
      </c>
      <c r="G34" s="152">
        <v>262.5</v>
      </c>
      <c r="H34" s="145">
        <f t="shared" si="0"/>
        <v>262.5</v>
      </c>
    </row>
    <row r="35" spans="1:8" ht="27" customHeight="1">
      <c r="A35" s="142" t="s">
        <v>161</v>
      </c>
      <c r="B35" s="142" t="s">
        <v>25</v>
      </c>
      <c r="C35" s="142">
        <v>370</v>
      </c>
      <c r="D35" s="143" t="s">
        <v>167</v>
      </c>
      <c r="E35" s="142" t="s">
        <v>52</v>
      </c>
      <c r="F35" s="151">
        <v>4.8999999999999998E-3</v>
      </c>
      <c r="G35" s="152">
        <v>100</v>
      </c>
      <c r="H35" s="145">
        <f t="shared" si="0"/>
        <v>0.49</v>
      </c>
    </row>
    <row r="36" spans="1:8" ht="27" customHeight="1">
      <c r="A36" s="142" t="s">
        <v>161</v>
      </c>
      <c r="B36" s="142" t="s">
        <v>25</v>
      </c>
      <c r="C36" s="142">
        <v>1379</v>
      </c>
      <c r="D36" s="143" t="s">
        <v>168</v>
      </c>
      <c r="E36" s="142" t="s">
        <v>163</v>
      </c>
      <c r="F36" s="151">
        <v>1.5</v>
      </c>
      <c r="G36" s="152">
        <v>0.75</v>
      </c>
      <c r="H36" s="145">
        <f t="shared" si="0"/>
        <v>1.1299999999999999</v>
      </c>
    </row>
    <row r="37" spans="1:8">
      <c r="A37" s="142" t="s">
        <v>161</v>
      </c>
      <c r="B37" s="142" t="s">
        <v>25</v>
      </c>
      <c r="C37" s="142">
        <v>4718</v>
      </c>
      <c r="D37" s="143" t="s">
        <v>169</v>
      </c>
      <c r="E37" s="142" t="s">
        <v>52</v>
      </c>
      <c r="F37" s="151">
        <v>9.7999999999999997E-3</v>
      </c>
      <c r="G37" s="152">
        <v>70.02</v>
      </c>
      <c r="H37" s="145">
        <f t="shared" si="0"/>
        <v>0.69</v>
      </c>
    </row>
    <row r="38" spans="1:8" ht="24">
      <c r="A38" s="142" t="s">
        <v>170</v>
      </c>
      <c r="B38" s="142" t="s">
        <v>25</v>
      </c>
      <c r="C38" s="142">
        <v>87445</v>
      </c>
      <c r="D38" s="143" t="s">
        <v>171</v>
      </c>
      <c r="E38" s="142" t="s">
        <v>172</v>
      </c>
      <c r="F38" s="151">
        <v>6.4999999999999997E-3</v>
      </c>
      <c r="G38" s="152">
        <v>4.51</v>
      </c>
      <c r="H38" s="145">
        <f t="shared" si="0"/>
        <v>0.03</v>
      </c>
    </row>
    <row r="39" spans="1:8" ht="27" customHeight="1">
      <c r="A39" s="142" t="s">
        <v>170</v>
      </c>
      <c r="B39" s="142" t="s">
        <v>25</v>
      </c>
      <c r="C39" s="142">
        <v>88262</v>
      </c>
      <c r="D39" s="143" t="s">
        <v>173</v>
      </c>
      <c r="E39" s="142" t="s">
        <v>172</v>
      </c>
      <c r="F39" s="151">
        <v>1</v>
      </c>
      <c r="G39" s="152">
        <v>26.39</v>
      </c>
      <c r="H39" s="145">
        <f t="shared" si="0"/>
        <v>26.39</v>
      </c>
    </row>
    <row r="40" spans="1:8" ht="27" customHeight="1">
      <c r="A40" s="142" t="s">
        <v>170</v>
      </c>
      <c r="B40" s="142" t="s">
        <v>25</v>
      </c>
      <c r="C40" s="142">
        <v>88316</v>
      </c>
      <c r="D40" s="143" t="s">
        <v>174</v>
      </c>
      <c r="E40" s="142" t="s">
        <v>172</v>
      </c>
      <c r="F40" s="151">
        <v>2.06</v>
      </c>
      <c r="G40" s="152">
        <v>18.79</v>
      </c>
      <c r="H40" s="145">
        <f t="shared" si="0"/>
        <v>38.71</v>
      </c>
    </row>
    <row r="41" spans="1:8" ht="21.95" customHeight="1">
      <c r="A41" s="3"/>
      <c r="B41" s="4"/>
      <c r="C41" s="4"/>
      <c r="D41" s="4"/>
      <c r="E41" s="375" t="s">
        <v>147</v>
      </c>
      <c r="F41" s="376"/>
      <c r="G41" s="377"/>
      <c r="H41" s="146">
        <f>SUM(H31:H40)</f>
        <v>376.37999999999994</v>
      </c>
    </row>
    <row r="42" spans="1:8" ht="21.95" customHeight="1">
      <c r="A42" s="3"/>
      <c r="B42" s="4"/>
      <c r="C42" s="4"/>
      <c r="D42" s="4"/>
      <c r="E42" s="378">
        <f>H9</f>
        <v>0.21378112315270936</v>
      </c>
      <c r="F42" s="376"/>
      <c r="G42" s="377"/>
      <c r="H42" s="147">
        <f>ROUND((E42*H41),2)</f>
        <v>80.459999999999994</v>
      </c>
    </row>
    <row r="43" spans="1:8" ht="21.95" customHeight="1">
      <c r="A43" s="155"/>
      <c r="B43" s="156"/>
      <c r="C43" s="156"/>
      <c r="D43" s="156"/>
      <c r="E43" s="375" t="s">
        <v>148</v>
      </c>
      <c r="F43" s="376"/>
      <c r="G43" s="377"/>
      <c r="H43" s="149">
        <f>ROUND(H41+H42,2)</f>
        <v>456.84</v>
      </c>
    </row>
    <row r="45" spans="1:8" ht="35.25" customHeight="1">
      <c r="A45" s="139" t="s">
        <v>41</v>
      </c>
      <c r="B45" s="139" t="s">
        <v>140</v>
      </c>
      <c r="C45" s="139" t="s">
        <v>11</v>
      </c>
      <c r="D45" s="140" t="s">
        <v>175</v>
      </c>
      <c r="E45" s="139" t="s">
        <v>13</v>
      </c>
      <c r="F45" s="141" t="s">
        <v>14</v>
      </c>
      <c r="G45" s="141" t="s">
        <v>141</v>
      </c>
      <c r="H45" s="141" t="s">
        <v>142</v>
      </c>
    </row>
    <row r="46" spans="1:8" ht="36">
      <c r="A46" s="142" t="s">
        <v>161</v>
      </c>
      <c r="B46" s="142" t="s">
        <v>25</v>
      </c>
      <c r="C46" s="142">
        <v>20206</v>
      </c>
      <c r="D46" s="143" t="s">
        <v>176</v>
      </c>
      <c r="E46" s="142" t="s">
        <v>53</v>
      </c>
      <c r="F46" s="157">
        <v>2.8860000000000001E-3</v>
      </c>
      <c r="G46" s="152">
        <v>11.31</v>
      </c>
      <c r="H46" s="145">
        <f t="shared" ref="H46:H51" si="1">ROUND(F46*G46,2)</f>
        <v>0.03</v>
      </c>
    </row>
    <row r="47" spans="1:8" ht="27" customHeight="1">
      <c r="A47" s="142" t="s">
        <v>170</v>
      </c>
      <c r="B47" s="142" t="s">
        <v>25</v>
      </c>
      <c r="C47" s="142">
        <v>88253</v>
      </c>
      <c r="D47" s="143" t="s">
        <v>177</v>
      </c>
      <c r="E47" s="142" t="s">
        <v>172</v>
      </c>
      <c r="F47" s="157">
        <v>2.5000000000000001E-3</v>
      </c>
      <c r="G47" s="152">
        <v>13.6</v>
      </c>
      <c r="H47" s="145">
        <f t="shared" si="1"/>
        <v>0.03</v>
      </c>
    </row>
    <row r="48" spans="1:8" ht="27" customHeight="1">
      <c r="A48" s="142" t="s">
        <v>170</v>
      </c>
      <c r="B48" s="142" t="s">
        <v>25</v>
      </c>
      <c r="C48" s="142">
        <v>88288</v>
      </c>
      <c r="D48" s="143" t="s">
        <v>178</v>
      </c>
      <c r="E48" s="142" t="s">
        <v>172</v>
      </c>
      <c r="F48" s="157">
        <v>2.5000000000000001E-3</v>
      </c>
      <c r="G48" s="152">
        <v>16.73</v>
      </c>
      <c r="H48" s="145">
        <f t="shared" si="1"/>
        <v>0.04</v>
      </c>
    </row>
    <row r="49" spans="1:8" ht="27" customHeight="1">
      <c r="A49" s="142" t="s">
        <v>170</v>
      </c>
      <c r="B49" s="142" t="s">
        <v>25</v>
      </c>
      <c r="C49" s="142">
        <v>88316</v>
      </c>
      <c r="D49" s="143" t="s">
        <v>174</v>
      </c>
      <c r="E49" s="142" t="s">
        <v>172</v>
      </c>
      <c r="F49" s="157">
        <v>7.4999999999999997E-3</v>
      </c>
      <c r="G49" s="152">
        <v>18.79</v>
      </c>
      <c r="H49" s="145">
        <f t="shared" si="1"/>
        <v>0.14000000000000001</v>
      </c>
    </row>
    <row r="50" spans="1:8" ht="27" customHeight="1">
      <c r="A50" s="142" t="s">
        <v>170</v>
      </c>
      <c r="B50" s="142" t="s">
        <v>25</v>
      </c>
      <c r="C50" s="142">
        <v>88597</v>
      </c>
      <c r="D50" s="143" t="s">
        <v>179</v>
      </c>
      <c r="E50" s="142" t="s">
        <v>172</v>
      </c>
      <c r="F50" s="157">
        <v>2E-3</v>
      </c>
      <c r="G50" s="152">
        <v>43.22</v>
      </c>
      <c r="H50" s="145">
        <f t="shared" si="1"/>
        <v>0.09</v>
      </c>
    </row>
    <row r="51" spans="1:8" ht="36">
      <c r="A51" s="142" t="s">
        <v>170</v>
      </c>
      <c r="B51" s="142" t="s">
        <v>25</v>
      </c>
      <c r="C51" s="142">
        <v>92145</v>
      </c>
      <c r="D51" s="143" t="s">
        <v>180</v>
      </c>
      <c r="E51" s="142" t="s">
        <v>181</v>
      </c>
      <c r="F51" s="157">
        <v>1E-3</v>
      </c>
      <c r="G51" s="152">
        <v>78.27</v>
      </c>
      <c r="H51" s="145">
        <f t="shared" si="1"/>
        <v>0.08</v>
      </c>
    </row>
    <row r="52" spans="1:8" ht="21.95" customHeight="1">
      <c r="A52" s="3"/>
      <c r="B52" s="4"/>
      <c r="C52" s="4"/>
      <c r="D52" s="4"/>
      <c r="E52" s="375" t="s">
        <v>147</v>
      </c>
      <c r="F52" s="376"/>
      <c r="G52" s="377"/>
      <c r="H52" s="146">
        <f>SUM(H46:H51)</f>
        <v>0.41000000000000003</v>
      </c>
    </row>
    <row r="53" spans="1:8" ht="21.95" customHeight="1">
      <c r="A53" s="3"/>
      <c r="B53" s="4"/>
      <c r="C53" s="4"/>
      <c r="D53" s="4"/>
      <c r="E53" s="378">
        <f>H9</f>
        <v>0.21378112315270936</v>
      </c>
      <c r="F53" s="376"/>
      <c r="G53" s="377"/>
      <c r="H53" s="147">
        <f>ROUND((E53*H52),2)</f>
        <v>0.09</v>
      </c>
    </row>
    <row r="54" spans="1:8" ht="21.95" customHeight="1">
      <c r="A54" s="155"/>
      <c r="B54" s="156"/>
      <c r="C54" s="156"/>
      <c r="D54" s="156"/>
      <c r="E54" s="375" t="s">
        <v>148</v>
      </c>
      <c r="F54" s="376"/>
      <c r="G54" s="377"/>
      <c r="H54" s="149">
        <f>ROUND(H52+H53,2)</f>
        <v>0.5</v>
      </c>
    </row>
  </sheetData>
  <mergeCells count="24">
    <mergeCell ref="E54:G54"/>
    <mergeCell ref="E41:G41"/>
    <mergeCell ref="E42:G42"/>
    <mergeCell ref="E43:G43"/>
    <mergeCell ref="E52:G52"/>
    <mergeCell ref="E53:G53"/>
    <mergeCell ref="A22:H22"/>
    <mergeCell ref="E27:G27"/>
    <mergeCell ref="E28:G28"/>
    <mergeCell ref="E29:G29"/>
    <mergeCell ref="E17:G17"/>
    <mergeCell ref="E18:G18"/>
    <mergeCell ref="E19:G19"/>
    <mergeCell ref="E20:G20"/>
    <mergeCell ref="E16:G16"/>
    <mergeCell ref="F9:G9"/>
    <mergeCell ref="F10:G10"/>
    <mergeCell ref="B11:D11"/>
    <mergeCell ref="F11:H11"/>
    <mergeCell ref="D1:H1"/>
    <mergeCell ref="D2:H2"/>
    <mergeCell ref="D3:H3"/>
    <mergeCell ref="A5:H5"/>
    <mergeCell ref="A7:H7"/>
  </mergeCells>
  <pageMargins left="0.511811024" right="0.511811024" top="0.78740157499999996" bottom="0.78740157499999996" header="0.31496062000000002" footer="0.31496062000000002"/>
  <pageSetup paperSize="9" scale="5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H55"/>
  <sheetViews>
    <sheetView view="pageBreakPreview" topLeftCell="A10" zoomScaleNormal="100" zoomScaleSheetLayoutView="100" workbookViewId="0">
      <selection activeCell="A6" sqref="A6"/>
    </sheetView>
  </sheetViews>
  <sheetFormatPr defaultColWidth="9" defaultRowHeight="12.75"/>
  <cols>
    <col min="1" max="2" width="13.28515625" customWidth="1"/>
    <col min="3" max="3" width="15.5703125" customWidth="1"/>
    <col min="4" max="4" width="93.42578125" customWidth="1"/>
    <col min="5" max="5" width="17.28515625" customWidth="1"/>
    <col min="6" max="6" width="19.7109375" customWidth="1"/>
    <col min="7" max="7" width="16.42578125" customWidth="1"/>
    <col min="8" max="8" width="11.5703125" customWidth="1"/>
    <col min="12" max="12" width="12.85546875"/>
  </cols>
  <sheetData>
    <row r="1" spans="1:8">
      <c r="A1" s="117"/>
      <c r="B1" s="118"/>
      <c r="C1" s="382" t="s">
        <v>329</v>
      </c>
      <c r="D1" s="383"/>
      <c r="E1" s="383"/>
      <c r="F1" s="383"/>
      <c r="G1" s="383"/>
      <c r="H1" s="119"/>
    </row>
    <row r="2" spans="1:8">
      <c r="A2" s="120"/>
      <c r="B2" s="4"/>
      <c r="C2" s="359" t="s">
        <v>182</v>
      </c>
      <c r="D2" s="360"/>
      <c r="E2" s="360"/>
      <c r="F2" s="360"/>
      <c r="G2" s="360"/>
      <c r="H2" s="121"/>
    </row>
    <row r="3" spans="1:8">
      <c r="A3" s="120"/>
      <c r="B3" s="4"/>
      <c r="C3" s="359" t="s">
        <v>183</v>
      </c>
      <c r="D3" s="360"/>
      <c r="E3" s="360"/>
      <c r="F3" s="360"/>
      <c r="G3" s="360"/>
      <c r="H3" s="121"/>
    </row>
    <row r="4" spans="1:8">
      <c r="A4" s="120"/>
      <c r="B4" s="4"/>
      <c r="C4" s="4"/>
      <c r="D4" s="4"/>
      <c r="E4" s="4"/>
      <c r="F4" s="4"/>
      <c r="G4" s="4"/>
      <c r="H4" s="121"/>
    </row>
    <row r="5" spans="1:8" ht="15.75">
      <c r="A5" s="384" t="s">
        <v>330</v>
      </c>
      <c r="B5" s="363"/>
      <c r="C5" s="363"/>
      <c r="D5" s="363"/>
      <c r="E5" s="363"/>
      <c r="F5" s="363"/>
      <c r="G5" s="363"/>
      <c r="H5" s="121"/>
    </row>
    <row r="6" spans="1:8" ht="15.75">
      <c r="A6" s="122"/>
      <c r="B6" s="7"/>
      <c r="C6" s="7"/>
      <c r="D6" s="7"/>
      <c r="E6" s="7"/>
      <c r="F6" s="7"/>
      <c r="G6" s="7"/>
      <c r="H6" s="121"/>
    </row>
    <row r="7" spans="1:8" ht="39.950000000000003" customHeight="1">
      <c r="A7" s="385" t="str">
        <f>'Planilha - PORTO SEGURO'!A5:I5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7" s="291"/>
      <c r="C7" s="291"/>
      <c r="D7" s="291"/>
      <c r="E7" s="291"/>
      <c r="F7" s="291"/>
      <c r="G7" s="291"/>
      <c r="H7" s="386"/>
    </row>
    <row r="8" spans="1:8" ht="15.75">
      <c r="A8" s="122"/>
      <c r="B8" s="7"/>
      <c r="C8" s="7"/>
      <c r="D8" s="7"/>
      <c r="E8" s="7"/>
      <c r="F8" s="7"/>
      <c r="G8" s="7"/>
      <c r="H8" s="121"/>
    </row>
    <row r="9" spans="1:8" ht="21.95" customHeight="1">
      <c r="A9" s="120"/>
      <c r="B9" s="4"/>
      <c r="C9" s="4"/>
      <c r="D9" s="4"/>
      <c r="E9" s="371" t="s">
        <v>138</v>
      </c>
      <c r="F9" s="371"/>
      <c r="G9" s="387">
        <f>BDI!D36</f>
        <v>0.21378112315270936</v>
      </c>
      <c r="H9" s="388"/>
    </row>
    <row r="10" spans="1:8" ht="21.95" customHeight="1">
      <c r="A10" s="120"/>
      <c r="B10" s="4"/>
      <c r="C10" s="4"/>
      <c r="D10" s="4"/>
      <c r="E10" s="371" t="s">
        <v>139</v>
      </c>
      <c r="F10" s="371"/>
      <c r="G10" s="387">
        <f>'ENC SOCIAIS'!F52</f>
        <v>1.1446999999999998</v>
      </c>
      <c r="H10" s="388"/>
    </row>
    <row r="11" spans="1:8" ht="21.95" customHeight="1">
      <c r="A11" s="123" t="s">
        <v>7</v>
      </c>
      <c r="B11" s="293" t="s">
        <v>8</v>
      </c>
      <c r="C11" s="293"/>
      <c r="D11" s="293"/>
      <c r="E11" s="389" t="s">
        <v>257</v>
      </c>
      <c r="F11" s="389"/>
      <c r="G11" s="389"/>
      <c r="H11" s="390"/>
    </row>
    <row r="12" spans="1:8" ht="15" customHeight="1">
      <c r="A12" s="120"/>
      <c r="B12" s="4"/>
      <c r="C12" s="4"/>
      <c r="D12" s="4"/>
      <c r="E12" s="4"/>
      <c r="F12" s="4"/>
      <c r="G12" s="5"/>
      <c r="H12" s="121"/>
    </row>
    <row r="13" spans="1:8">
      <c r="A13" s="401" t="s">
        <v>80</v>
      </c>
      <c r="B13" s="395" t="s">
        <v>21</v>
      </c>
      <c r="C13" s="395" t="s">
        <v>184</v>
      </c>
      <c r="D13" s="404" t="s">
        <v>205</v>
      </c>
      <c r="E13" s="395" t="s">
        <v>185</v>
      </c>
      <c r="F13" s="397" t="s">
        <v>186</v>
      </c>
      <c r="G13" s="397" t="s">
        <v>187</v>
      </c>
      <c r="H13" s="405" t="s">
        <v>142</v>
      </c>
    </row>
    <row r="14" spans="1:8">
      <c r="A14" s="402"/>
      <c r="B14" s="396"/>
      <c r="C14" s="396"/>
      <c r="D14" s="403"/>
      <c r="E14" s="396"/>
      <c r="F14" s="398"/>
      <c r="G14" s="398"/>
      <c r="H14" s="406"/>
    </row>
    <row r="15" spans="1:8">
      <c r="A15" s="124" t="s">
        <v>161</v>
      </c>
      <c r="B15" s="12" t="s">
        <v>25</v>
      </c>
      <c r="C15" s="12">
        <v>370</v>
      </c>
      <c r="D15" s="24" t="s">
        <v>188</v>
      </c>
      <c r="E15" s="12" t="s">
        <v>68</v>
      </c>
      <c r="F15" s="13" t="s">
        <v>189</v>
      </c>
      <c r="G15" s="13">
        <v>100</v>
      </c>
      <c r="H15" s="125">
        <f>F15*G15</f>
        <v>5.6800000000000006</v>
      </c>
    </row>
    <row r="16" spans="1:8" ht="33.75">
      <c r="A16" s="124" t="s">
        <v>161</v>
      </c>
      <c r="B16" s="12" t="s">
        <v>25</v>
      </c>
      <c r="C16" s="12">
        <v>36170</v>
      </c>
      <c r="D16" s="24" t="s">
        <v>206</v>
      </c>
      <c r="E16" s="12" t="s">
        <v>46</v>
      </c>
      <c r="F16" s="13">
        <v>1.0130999999999999</v>
      </c>
      <c r="G16" s="13">
        <v>48</v>
      </c>
      <c r="H16" s="125">
        <f t="shared" ref="H16:H22" si="0">F16*G16</f>
        <v>48.628799999999998</v>
      </c>
    </row>
    <row r="17" spans="1:8">
      <c r="A17" s="124" t="s">
        <v>161</v>
      </c>
      <c r="B17" s="12" t="s">
        <v>25</v>
      </c>
      <c r="C17" s="12">
        <v>4741</v>
      </c>
      <c r="D17" s="24" t="s">
        <v>190</v>
      </c>
      <c r="E17" s="12" t="s">
        <v>68</v>
      </c>
      <c r="F17" s="13">
        <v>8.6999999999999994E-3</v>
      </c>
      <c r="G17" s="13">
        <v>65.790000000000006</v>
      </c>
      <c r="H17" s="125">
        <f t="shared" si="0"/>
        <v>0.57237300000000002</v>
      </c>
    </row>
    <row r="18" spans="1:8">
      <c r="A18" s="126" t="s">
        <v>170</v>
      </c>
      <c r="B18" s="12" t="s">
        <v>25</v>
      </c>
      <c r="C18" s="12">
        <v>88260</v>
      </c>
      <c r="D18" s="24" t="s">
        <v>191</v>
      </c>
      <c r="E18" s="12" t="s">
        <v>146</v>
      </c>
      <c r="F18" s="13">
        <v>0.27029999999999998</v>
      </c>
      <c r="G18" s="287">
        <v>27.29</v>
      </c>
      <c r="H18" s="125">
        <f t="shared" si="0"/>
        <v>7.3764869999999991</v>
      </c>
    </row>
    <row r="19" spans="1:8">
      <c r="A19" s="126" t="s">
        <v>170</v>
      </c>
      <c r="B19" s="12" t="s">
        <v>25</v>
      </c>
      <c r="C19" s="12">
        <v>88316</v>
      </c>
      <c r="D19" s="24" t="s">
        <v>174</v>
      </c>
      <c r="E19" s="12" t="s">
        <v>146</v>
      </c>
      <c r="F19" s="13">
        <v>0.27029999999999998</v>
      </c>
      <c r="G19" s="287">
        <v>18.79</v>
      </c>
      <c r="H19" s="125">
        <f t="shared" si="0"/>
        <v>5.0789369999999998</v>
      </c>
    </row>
    <row r="20" spans="1:8" ht="22.5">
      <c r="A20" s="126" t="s">
        <v>170</v>
      </c>
      <c r="B20" s="12" t="s">
        <v>29</v>
      </c>
      <c r="C20" s="12">
        <v>11450</v>
      </c>
      <c r="D20" s="24" t="s">
        <v>192</v>
      </c>
      <c r="E20" s="12" t="s">
        <v>69</v>
      </c>
      <c r="F20" s="13">
        <v>1</v>
      </c>
      <c r="G20" s="287">
        <v>1.77</v>
      </c>
      <c r="H20" s="125">
        <f t="shared" si="0"/>
        <v>1.77</v>
      </c>
    </row>
    <row r="21" spans="1:8" ht="33.75">
      <c r="A21" s="126" t="s">
        <v>170</v>
      </c>
      <c r="B21" s="12" t="s">
        <v>25</v>
      </c>
      <c r="C21" s="12" t="s">
        <v>193</v>
      </c>
      <c r="D21" s="24" t="s">
        <v>194</v>
      </c>
      <c r="E21" s="12" t="s">
        <v>154</v>
      </c>
      <c r="F21" s="13">
        <v>1.35E-2</v>
      </c>
      <c r="G21" s="13">
        <v>23.12</v>
      </c>
      <c r="H21" s="125">
        <f t="shared" si="0"/>
        <v>0.31212000000000001</v>
      </c>
    </row>
    <row r="22" spans="1:8" ht="33.75">
      <c r="A22" s="126" t="s">
        <v>170</v>
      </c>
      <c r="B22" s="12" t="s">
        <v>25</v>
      </c>
      <c r="C22" s="12">
        <v>91285</v>
      </c>
      <c r="D22" s="24" t="s">
        <v>194</v>
      </c>
      <c r="E22" s="12" t="s">
        <v>198</v>
      </c>
      <c r="F22" s="13">
        <v>0.1217</v>
      </c>
      <c r="G22" s="13">
        <v>0.84</v>
      </c>
      <c r="H22" s="125">
        <f t="shared" si="0"/>
        <v>0.102228</v>
      </c>
    </row>
    <row r="23" spans="1:8">
      <c r="A23" s="127"/>
      <c r="B23" s="14"/>
      <c r="C23" s="14"/>
      <c r="D23" s="14"/>
      <c r="E23" s="391" t="s">
        <v>147</v>
      </c>
      <c r="F23" s="391"/>
      <c r="G23" s="392"/>
      <c r="H23" s="128">
        <f>SUM(H15:H22)</f>
        <v>69.520944999999983</v>
      </c>
    </row>
    <row r="24" spans="1:8">
      <c r="A24" s="129"/>
      <c r="B24" s="15"/>
      <c r="C24" s="15"/>
      <c r="D24" s="15"/>
      <c r="E24" s="16"/>
      <c r="F24" s="17" t="s">
        <v>195</v>
      </c>
      <c r="G24" s="18">
        <f>$G$9</f>
        <v>0.21378112315270936</v>
      </c>
      <c r="H24" s="130">
        <f>ROUND(H23*G24,2)</f>
        <v>14.86</v>
      </c>
    </row>
    <row r="25" spans="1:8">
      <c r="A25" s="131"/>
      <c r="B25" s="19"/>
      <c r="C25" s="19"/>
      <c r="D25" s="19"/>
      <c r="E25" s="20"/>
      <c r="F25" s="20"/>
      <c r="G25" s="21" t="s">
        <v>196</v>
      </c>
      <c r="H25" s="132">
        <f>H23+H24</f>
        <v>84.380944999999983</v>
      </c>
    </row>
    <row r="26" spans="1:8">
      <c r="A26" s="133"/>
      <c r="B26" s="22"/>
      <c r="C26" s="22"/>
      <c r="D26" s="22"/>
      <c r="E26" s="23" t="str">
        <f>A13</f>
        <v>CPU-21</v>
      </c>
      <c r="F26" s="393" t="s">
        <v>148</v>
      </c>
      <c r="G26" s="394"/>
      <c r="H26" s="134">
        <f>H25</f>
        <v>84.380944999999983</v>
      </c>
    </row>
    <row r="27" spans="1:8">
      <c r="A27" s="120"/>
      <c r="H27" s="121"/>
    </row>
    <row r="28" spans="1:8">
      <c r="A28" s="401" t="s">
        <v>77</v>
      </c>
      <c r="B28" s="395" t="s">
        <v>21</v>
      </c>
      <c r="C28" s="395" t="s">
        <v>197</v>
      </c>
      <c r="D28" s="404" t="s">
        <v>207</v>
      </c>
      <c r="E28" s="395" t="s">
        <v>185</v>
      </c>
      <c r="F28" s="397" t="s">
        <v>186</v>
      </c>
      <c r="G28" s="397" t="s">
        <v>187</v>
      </c>
      <c r="H28" s="405" t="s">
        <v>142</v>
      </c>
    </row>
    <row r="29" spans="1:8" ht="24" customHeight="1">
      <c r="A29" s="402"/>
      <c r="B29" s="396"/>
      <c r="C29" s="396"/>
      <c r="D29" s="403"/>
      <c r="E29" s="396"/>
      <c r="F29" s="398"/>
      <c r="G29" s="398"/>
      <c r="H29" s="406"/>
    </row>
    <row r="30" spans="1:8">
      <c r="A30" s="124" t="s">
        <v>161</v>
      </c>
      <c r="B30" s="12" t="s">
        <v>25</v>
      </c>
      <c r="C30" s="12">
        <v>370</v>
      </c>
      <c r="D30" s="24" t="s">
        <v>188</v>
      </c>
      <c r="E30" s="12" t="s">
        <v>68</v>
      </c>
      <c r="F30" s="13" t="s">
        <v>189</v>
      </c>
      <c r="G30" s="13">
        <v>100</v>
      </c>
      <c r="H30" s="125">
        <f>F30*G30</f>
        <v>5.6800000000000006</v>
      </c>
    </row>
    <row r="31" spans="1:8" ht="33.75">
      <c r="A31" s="124" t="s">
        <v>161</v>
      </c>
      <c r="B31" s="12" t="s">
        <v>25</v>
      </c>
      <c r="C31" s="12">
        <v>36154</v>
      </c>
      <c r="D31" s="24" t="s">
        <v>208</v>
      </c>
      <c r="E31" s="12" t="s">
        <v>46</v>
      </c>
      <c r="F31" s="13">
        <v>1.0130999999999999</v>
      </c>
      <c r="G31" s="13">
        <v>52.82</v>
      </c>
      <c r="H31" s="125">
        <f t="shared" ref="H31:H37" si="1">F31*G31</f>
        <v>53.511941999999998</v>
      </c>
    </row>
    <row r="32" spans="1:8">
      <c r="A32" s="124" t="s">
        <v>161</v>
      </c>
      <c r="B32" s="12" t="s">
        <v>25</v>
      </c>
      <c r="C32" s="12">
        <v>4741</v>
      </c>
      <c r="D32" s="24" t="s">
        <v>190</v>
      </c>
      <c r="E32" s="12" t="s">
        <v>68</v>
      </c>
      <c r="F32" s="13">
        <v>8.6999999999999994E-3</v>
      </c>
      <c r="G32" s="13">
        <v>65.790000000000006</v>
      </c>
      <c r="H32" s="125">
        <f t="shared" si="1"/>
        <v>0.57237300000000002</v>
      </c>
    </row>
    <row r="33" spans="1:8">
      <c r="A33" s="126" t="s">
        <v>170</v>
      </c>
      <c r="B33" s="12" t="s">
        <v>25</v>
      </c>
      <c r="C33" s="12">
        <v>88260</v>
      </c>
      <c r="D33" s="24" t="s">
        <v>191</v>
      </c>
      <c r="E33" s="12" t="s">
        <v>146</v>
      </c>
      <c r="F33" s="13">
        <v>0.27029999999999998</v>
      </c>
      <c r="G33" s="287">
        <v>27.29</v>
      </c>
      <c r="H33" s="125">
        <f t="shared" si="1"/>
        <v>7.3764869999999991</v>
      </c>
    </row>
    <row r="34" spans="1:8">
      <c r="A34" s="126" t="s">
        <v>170</v>
      </c>
      <c r="B34" s="12" t="s">
        <v>25</v>
      </c>
      <c r="C34" s="12">
        <v>88316</v>
      </c>
      <c r="D34" s="24" t="s">
        <v>174</v>
      </c>
      <c r="E34" s="12" t="s">
        <v>146</v>
      </c>
      <c r="F34" s="13">
        <v>0.27029999999999998</v>
      </c>
      <c r="G34" s="287">
        <v>18.79</v>
      </c>
      <c r="H34" s="125">
        <f t="shared" si="1"/>
        <v>5.0789369999999998</v>
      </c>
    </row>
    <row r="35" spans="1:8" ht="22.5">
      <c r="A35" s="126" t="s">
        <v>170</v>
      </c>
      <c r="B35" s="12" t="s">
        <v>29</v>
      </c>
      <c r="C35" s="12">
        <v>11450</v>
      </c>
      <c r="D35" s="24" t="s">
        <v>192</v>
      </c>
      <c r="E35" s="12" t="s">
        <v>69</v>
      </c>
      <c r="F35" s="13">
        <v>1</v>
      </c>
      <c r="G35" s="287">
        <v>1.77</v>
      </c>
      <c r="H35" s="125">
        <f t="shared" si="1"/>
        <v>1.77</v>
      </c>
    </row>
    <row r="36" spans="1:8" ht="33.75">
      <c r="A36" s="126" t="s">
        <v>170</v>
      </c>
      <c r="B36" s="12" t="s">
        <v>25</v>
      </c>
      <c r="C36" s="12" t="s">
        <v>193</v>
      </c>
      <c r="D36" s="24" t="s">
        <v>194</v>
      </c>
      <c r="E36" s="12" t="s">
        <v>154</v>
      </c>
      <c r="F36" s="13">
        <v>0.12970000000000001</v>
      </c>
      <c r="G36" s="13">
        <v>23.12</v>
      </c>
      <c r="H36" s="125">
        <f t="shared" si="1"/>
        <v>2.9986640000000002</v>
      </c>
    </row>
    <row r="37" spans="1:8" ht="33.75">
      <c r="A37" s="126" t="s">
        <v>170</v>
      </c>
      <c r="B37" s="12" t="s">
        <v>25</v>
      </c>
      <c r="C37" s="12">
        <v>91285</v>
      </c>
      <c r="D37" s="24" t="s">
        <v>194</v>
      </c>
      <c r="E37" s="12" t="s">
        <v>198</v>
      </c>
      <c r="F37" s="13">
        <v>1.35E-2</v>
      </c>
      <c r="G37" s="13">
        <v>0.84</v>
      </c>
      <c r="H37" s="125">
        <f t="shared" si="1"/>
        <v>1.1339999999999999E-2</v>
      </c>
    </row>
    <row r="38" spans="1:8">
      <c r="A38" s="127"/>
      <c r="B38" s="14"/>
      <c r="C38" s="14"/>
      <c r="D38" s="14"/>
      <c r="E38" s="391" t="s">
        <v>147</v>
      </c>
      <c r="F38" s="391"/>
      <c r="G38" s="392"/>
      <c r="H38" s="128">
        <f>SUM(H30:H37)</f>
        <v>76.999742999999995</v>
      </c>
    </row>
    <row r="39" spans="1:8">
      <c r="A39" s="129"/>
      <c r="B39" s="15"/>
      <c r="C39" s="15"/>
      <c r="D39" s="15"/>
      <c r="E39" s="16"/>
      <c r="F39" s="17" t="s">
        <v>195</v>
      </c>
      <c r="G39" s="18">
        <f>$G$9</f>
        <v>0.21378112315270936</v>
      </c>
      <c r="H39" s="130">
        <f>ROUND(H38*G39,2)</f>
        <v>16.46</v>
      </c>
    </row>
    <row r="40" spans="1:8">
      <c r="A40" s="131"/>
      <c r="B40" s="19"/>
      <c r="C40" s="19"/>
      <c r="D40" s="19"/>
      <c r="E40" s="20"/>
      <c r="F40" s="20"/>
      <c r="G40" s="21" t="s">
        <v>196</v>
      </c>
      <c r="H40" s="132">
        <f>H38+H39</f>
        <v>93.459743000000003</v>
      </c>
    </row>
    <row r="41" spans="1:8">
      <c r="A41" s="133"/>
      <c r="B41" s="22"/>
      <c r="C41" s="22"/>
      <c r="D41" s="22"/>
      <c r="E41" s="23" t="str">
        <f>A28</f>
        <v>CPU-22</v>
      </c>
      <c r="F41" s="393" t="s">
        <v>148</v>
      </c>
      <c r="G41" s="394"/>
      <c r="H41" s="134">
        <f>H40</f>
        <v>93.459743000000003</v>
      </c>
    </row>
    <row r="42" spans="1:8">
      <c r="A42" s="120"/>
      <c r="H42" s="121"/>
    </row>
    <row r="43" spans="1:8">
      <c r="A43" s="401" t="s">
        <v>48</v>
      </c>
      <c r="B43" s="395" t="s">
        <v>21</v>
      </c>
      <c r="C43" s="395" t="s">
        <v>197</v>
      </c>
      <c r="D43" s="404" t="s">
        <v>209</v>
      </c>
      <c r="E43" s="395" t="s">
        <v>185</v>
      </c>
      <c r="F43" s="397" t="s">
        <v>186</v>
      </c>
      <c r="G43" s="397" t="s">
        <v>187</v>
      </c>
      <c r="H43" s="405" t="s">
        <v>142</v>
      </c>
    </row>
    <row r="44" spans="1:8" ht="24" customHeight="1">
      <c r="A44" s="402"/>
      <c r="B44" s="396"/>
      <c r="C44" s="396"/>
      <c r="D44" s="403"/>
      <c r="E44" s="396"/>
      <c r="F44" s="398"/>
      <c r="G44" s="398"/>
      <c r="H44" s="406"/>
    </row>
    <row r="45" spans="1:8">
      <c r="A45" s="124" t="s">
        <v>143</v>
      </c>
      <c r="B45" s="12" t="s">
        <v>55</v>
      </c>
      <c r="C45" s="12" t="s">
        <v>199</v>
      </c>
      <c r="D45" s="26" t="s">
        <v>200</v>
      </c>
      <c r="E45" s="12" t="s">
        <v>154</v>
      </c>
      <c r="F45" s="13">
        <v>1E-3</v>
      </c>
      <c r="G45" s="13">
        <v>195.57</v>
      </c>
      <c r="H45" s="125">
        <f>F45*G45</f>
        <v>0.19556999999999999</v>
      </c>
    </row>
    <row r="46" spans="1:8">
      <c r="A46" s="124" t="s">
        <v>143</v>
      </c>
      <c r="B46" s="12" t="s">
        <v>55</v>
      </c>
      <c r="C46" s="12" t="s">
        <v>199</v>
      </c>
      <c r="D46" s="26" t="s">
        <v>200</v>
      </c>
      <c r="E46" s="12" t="s">
        <v>198</v>
      </c>
      <c r="F46" s="13">
        <v>7.0000000000000001E-3</v>
      </c>
      <c r="G46" s="13">
        <v>58.7</v>
      </c>
      <c r="H46" s="125">
        <f t="shared" ref="H46:H51" si="2">F46*G46</f>
        <v>0.41090000000000004</v>
      </c>
    </row>
    <row r="47" spans="1:8" ht="22.5">
      <c r="A47" s="124" t="s">
        <v>143</v>
      </c>
      <c r="B47" s="12" t="s">
        <v>25</v>
      </c>
      <c r="C47" s="12">
        <v>5932</v>
      </c>
      <c r="D47" s="24" t="s">
        <v>201</v>
      </c>
      <c r="E47" s="12" t="s">
        <v>154</v>
      </c>
      <c r="F47" s="13">
        <v>1E-4</v>
      </c>
      <c r="G47" s="13">
        <v>237.15</v>
      </c>
      <c r="H47" s="125">
        <f t="shared" si="2"/>
        <v>2.3715000000000003E-2</v>
      </c>
    </row>
    <row r="48" spans="1:8" ht="22.5">
      <c r="A48" s="126" t="s">
        <v>143</v>
      </c>
      <c r="B48" s="12" t="s">
        <v>25</v>
      </c>
      <c r="C48" s="12">
        <v>5934</v>
      </c>
      <c r="D48" s="24" t="s">
        <v>202</v>
      </c>
      <c r="E48" s="12" t="s">
        <v>198</v>
      </c>
      <c r="F48" s="13">
        <v>8.0000000000000002E-3</v>
      </c>
      <c r="G48" s="13">
        <v>91.45</v>
      </c>
      <c r="H48" s="125">
        <f t="shared" si="2"/>
        <v>0.73160000000000003</v>
      </c>
    </row>
    <row r="49" spans="1:8">
      <c r="A49" s="126" t="s">
        <v>143</v>
      </c>
      <c r="B49" s="12" t="s">
        <v>55</v>
      </c>
      <c r="C49" s="12" t="s">
        <v>203</v>
      </c>
      <c r="D49" s="26" t="s">
        <v>204</v>
      </c>
      <c r="E49" s="12" t="s">
        <v>154</v>
      </c>
      <c r="F49" s="13">
        <v>2E-3</v>
      </c>
      <c r="G49" s="287">
        <v>162.12</v>
      </c>
      <c r="H49" s="125">
        <f t="shared" si="2"/>
        <v>0.32424000000000003</v>
      </c>
    </row>
    <row r="50" spans="1:8">
      <c r="A50" s="126" t="s">
        <v>143</v>
      </c>
      <c r="B50" s="12" t="s">
        <v>25</v>
      </c>
      <c r="C50" s="12">
        <v>88316</v>
      </c>
      <c r="D50" s="24" t="s">
        <v>174</v>
      </c>
      <c r="E50" s="12" t="s">
        <v>146</v>
      </c>
      <c r="F50" s="13">
        <v>8.0000000000000002E-3</v>
      </c>
      <c r="G50" s="287">
        <v>18.79</v>
      </c>
      <c r="H50" s="125">
        <f t="shared" si="2"/>
        <v>0.15032000000000001</v>
      </c>
    </row>
    <row r="51" spans="1:8" ht="22.5">
      <c r="A51" s="126" t="s">
        <v>143</v>
      </c>
      <c r="B51" s="12" t="s">
        <v>25</v>
      </c>
      <c r="C51" s="12">
        <v>93244</v>
      </c>
      <c r="D51" s="24" t="s">
        <v>210</v>
      </c>
      <c r="E51" s="12" t="s">
        <v>198</v>
      </c>
      <c r="F51" s="13">
        <v>6.0000000000000001E-3</v>
      </c>
      <c r="G51" s="13">
        <v>73.78</v>
      </c>
      <c r="H51" s="125">
        <f t="shared" si="2"/>
        <v>0.44268000000000002</v>
      </c>
    </row>
    <row r="52" spans="1:8">
      <c r="A52" s="127"/>
      <c r="B52" s="14"/>
      <c r="C52" s="14"/>
      <c r="D52" s="14"/>
      <c r="E52" s="391" t="s">
        <v>147</v>
      </c>
      <c r="F52" s="391"/>
      <c r="G52" s="392"/>
      <c r="H52" s="128">
        <f>SUM(H45:H51)</f>
        <v>2.2790250000000003</v>
      </c>
    </row>
    <row r="53" spans="1:8">
      <c r="A53" s="129"/>
      <c r="B53" s="15"/>
      <c r="C53" s="15"/>
      <c r="D53" s="15"/>
      <c r="E53" s="16"/>
      <c r="F53" s="17" t="s">
        <v>195</v>
      </c>
      <c r="G53" s="18">
        <f>$G$9</f>
        <v>0.21378112315270936</v>
      </c>
      <c r="H53" s="130">
        <f>ROUND(H52*G53,2)</f>
        <v>0.49</v>
      </c>
    </row>
    <row r="54" spans="1:8">
      <c r="A54" s="131"/>
      <c r="B54" s="19"/>
      <c r="C54" s="19"/>
      <c r="D54" s="19"/>
      <c r="E54" s="20"/>
      <c r="F54" s="20"/>
      <c r="G54" s="21" t="s">
        <v>196</v>
      </c>
      <c r="H54" s="132">
        <f>H52+H53</f>
        <v>2.7690250000000001</v>
      </c>
    </row>
    <row r="55" spans="1:8">
      <c r="A55" s="135"/>
      <c r="B55" s="136"/>
      <c r="C55" s="136"/>
      <c r="D55" s="136"/>
      <c r="E55" s="137" t="str">
        <f>A43</f>
        <v>CPU-23</v>
      </c>
      <c r="F55" s="399" t="s">
        <v>148</v>
      </c>
      <c r="G55" s="400"/>
      <c r="H55" s="138">
        <f>H54</f>
        <v>2.7690250000000001</v>
      </c>
    </row>
  </sheetData>
  <mergeCells count="41">
    <mergeCell ref="G43:G44"/>
    <mergeCell ref="H13:H14"/>
    <mergeCell ref="H28:H29"/>
    <mergeCell ref="H43:H44"/>
    <mergeCell ref="E43:E44"/>
    <mergeCell ref="F28:F29"/>
    <mergeCell ref="F43:F44"/>
    <mergeCell ref="E38:G38"/>
    <mergeCell ref="F41:G41"/>
    <mergeCell ref="E23:G23"/>
    <mergeCell ref="G13:G14"/>
    <mergeCell ref="F13:F14"/>
    <mergeCell ref="E28:E29"/>
    <mergeCell ref="G28:G29"/>
    <mergeCell ref="E13:E14"/>
    <mergeCell ref="F26:G26"/>
    <mergeCell ref="C43:C44"/>
    <mergeCell ref="D13:D14"/>
    <mergeCell ref="D28:D29"/>
    <mergeCell ref="D43:D44"/>
    <mergeCell ref="B13:B14"/>
    <mergeCell ref="B28:B29"/>
    <mergeCell ref="B43:B44"/>
    <mergeCell ref="C13:C14"/>
    <mergeCell ref="C28:C29"/>
    <mergeCell ref="E52:G52"/>
    <mergeCell ref="F55:G55"/>
    <mergeCell ref="A13:A14"/>
    <mergeCell ref="A28:A29"/>
    <mergeCell ref="A43:A44"/>
    <mergeCell ref="B11:D11"/>
    <mergeCell ref="E11:H11"/>
    <mergeCell ref="C1:G1"/>
    <mergeCell ref="C2:G2"/>
    <mergeCell ref="C3:G3"/>
    <mergeCell ref="A5:G5"/>
    <mergeCell ref="A7:H7"/>
    <mergeCell ref="E9:F9"/>
    <mergeCell ref="G9:H9"/>
    <mergeCell ref="E10:F10"/>
    <mergeCell ref="G10:H10"/>
  </mergeCells>
  <pageMargins left="0.511811024" right="0.511811024" top="0.78740157499999996" bottom="0.78740157499999996" header="0.31496062000000002" footer="0.31496062000000002"/>
  <pageSetup paperSize="9" scale="4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P37"/>
  <sheetViews>
    <sheetView view="pageBreakPreview" topLeftCell="A13" zoomScaleNormal="100" zoomScaleSheetLayoutView="100" workbookViewId="0">
      <selection activeCell="G12" sqref="G12:H12"/>
    </sheetView>
  </sheetViews>
  <sheetFormatPr defaultColWidth="9" defaultRowHeight="12.75"/>
  <cols>
    <col min="2" max="2" width="15.42578125" customWidth="1"/>
    <col min="3" max="3" width="48.28515625" customWidth="1"/>
    <col min="4" max="4" width="9.5703125"/>
  </cols>
  <sheetData>
    <row r="2" spans="2:16" ht="20.25">
      <c r="B2" s="407" t="s">
        <v>327</v>
      </c>
      <c r="C2" s="408"/>
      <c r="D2" s="408"/>
      <c r="E2" s="408"/>
      <c r="F2" s="408"/>
      <c r="G2" s="408"/>
      <c r="H2" s="408"/>
      <c r="I2" s="409"/>
    </row>
    <row r="3" spans="2:16" ht="20.25">
      <c r="B3" s="410"/>
      <c r="C3" s="411"/>
      <c r="D3" s="411"/>
      <c r="E3" s="411"/>
      <c r="F3" s="411"/>
      <c r="G3" s="411"/>
      <c r="H3" s="411"/>
      <c r="I3" s="412"/>
    </row>
    <row r="4" spans="2:16" ht="71.099999999999994" customHeight="1">
      <c r="B4" s="65" t="s">
        <v>211</v>
      </c>
      <c r="C4" s="365" t="s">
        <v>4</v>
      </c>
      <c r="D4" s="366"/>
      <c r="E4" s="366"/>
      <c r="F4" s="366"/>
      <c r="G4" s="366"/>
      <c r="H4" s="366"/>
      <c r="I4" s="367"/>
      <c r="J4" s="288"/>
      <c r="K4" s="288"/>
    </row>
    <row r="5" spans="2:16" ht="15.75">
      <c r="B5" s="66"/>
      <c r="C5" s="413"/>
      <c r="D5" s="413"/>
      <c r="E5" s="413"/>
      <c r="F5" s="413"/>
      <c r="G5" s="413"/>
      <c r="H5" s="413"/>
      <c r="I5" s="414"/>
    </row>
    <row r="6" spans="2:16" ht="15">
      <c r="B6" s="415" t="s">
        <v>325</v>
      </c>
      <c r="C6" s="416"/>
      <c r="D6" s="416"/>
      <c r="E6" s="416"/>
      <c r="F6" s="416"/>
      <c r="G6" s="416"/>
      <c r="H6" s="416"/>
      <c r="I6" s="417"/>
    </row>
    <row r="7" spans="2:16" ht="15">
      <c r="B7" s="67"/>
      <c r="C7" s="68"/>
      <c r="D7" s="68"/>
      <c r="E7" s="68"/>
      <c r="F7" s="68"/>
      <c r="G7" s="69"/>
      <c r="H7" s="69"/>
      <c r="I7" s="104"/>
      <c r="M7" s="418" t="s">
        <v>212</v>
      </c>
      <c r="N7" s="418"/>
      <c r="O7" s="418"/>
      <c r="P7" s="418"/>
    </row>
    <row r="8" spans="2:16" ht="15.75" customHeight="1">
      <c r="B8" s="419" t="s">
        <v>326</v>
      </c>
      <c r="C8" s="416"/>
      <c r="D8" s="417"/>
      <c r="E8" s="68"/>
      <c r="F8" s="449" t="s">
        <v>213</v>
      </c>
      <c r="G8" s="450"/>
      <c r="H8" s="450"/>
      <c r="I8" s="451"/>
      <c r="M8" s="449" t="s">
        <v>213</v>
      </c>
      <c r="N8" s="450"/>
      <c r="O8" s="450"/>
      <c r="P8" s="451"/>
    </row>
    <row r="9" spans="2:16">
      <c r="B9" s="471" t="s">
        <v>9</v>
      </c>
      <c r="C9" s="475" t="s">
        <v>214</v>
      </c>
      <c r="D9" s="479" t="s">
        <v>215</v>
      </c>
      <c r="E9" s="70"/>
      <c r="F9" s="452"/>
      <c r="G9" s="453"/>
      <c r="H9" s="453"/>
      <c r="I9" s="454"/>
      <c r="M9" s="452"/>
      <c r="N9" s="453"/>
      <c r="O9" s="453"/>
      <c r="P9" s="454"/>
    </row>
    <row r="10" spans="2:16">
      <c r="B10" s="472"/>
      <c r="C10" s="476"/>
      <c r="D10" s="480"/>
      <c r="E10" s="70"/>
      <c r="F10" s="71" t="s">
        <v>216</v>
      </c>
      <c r="G10" s="420" t="s">
        <v>217</v>
      </c>
      <c r="H10" s="421"/>
      <c r="I10" s="106" t="s">
        <v>218</v>
      </c>
      <c r="M10" s="71" t="s">
        <v>216</v>
      </c>
      <c r="N10" s="420" t="s">
        <v>217</v>
      </c>
      <c r="O10" s="421"/>
      <c r="P10" s="106" t="s">
        <v>218</v>
      </c>
    </row>
    <row r="11" spans="2:16" ht="14.25">
      <c r="B11" s="422"/>
      <c r="C11" s="423"/>
      <c r="D11" s="423"/>
      <c r="E11" s="72"/>
      <c r="F11" s="72"/>
      <c r="G11" s="69"/>
      <c r="H11" s="69"/>
      <c r="I11" s="104"/>
      <c r="M11" s="72"/>
      <c r="N11" s="69"/>
      <c r="O11" s="69"/>
      <c r="P11" s="104"/>
    </row>
    <row r="12" spans="2:16" ht="14.25">
      <c r="B12" s="73" t="s">
        <v>219</v>
      </c>
      <c r="C12" s="424" t="s">
        <v>220</v>
      </c>
      <c r="D12" s="425"/>
      <c r="E12" s="74"/>
      <c r="F12" s="75"/>
      <c r="G12" s="426"/>
      <c r="H12" s="427"/>
      <c r="I12" s="107"/>
      <c r="M12" s="75"/>
      <c r="N12" s="426"/>
      <c r="O12" s="427"/>
      <c r="P12" s="107"/>
    </row>
    <row r="13" spans="2:16">
      <c r="B13" s="76" t="s">
        <v>221</v>
      </c>
      <c r="C13" s="77" t="s">
        <v>222</v>
      </c>
      <c r="D13" s="289">
        <v>0</v>
      </c>
      <c r="E13" s="79"/>
      <c r="F13" s="80">
        <v>8.0000000000000002E-3</v>
      </c>
      <c r="G13" s="428">
        <v>8.0000000000000002E-3</v>
      </c>
      <c r="H13" s="429"/>
      <c r="I13" s="108">
        <v>0.01</v>
      </c>
      <c r="M13" s="109">
        <v>3.2000000000000002E-3</v>
      </c>
      <c r="N13" s="428">
        <v>4.0000000000000001E-3</v>
      </c>
      <c r="O13" s="429"/>
      <c r="P13" s="108">
        <v>7.4000000000000003E-3</v>
      </c>
    </row>
    <row r="14" spans="2:16">
      <c r="B14" s="76" t="s">
        <v>223</v>
      </c>
      <c r="C14" s="77" t="s">
        <v>224</v>
      </c>
      <c r="D14" s="289">
        <v>0</v>
      </c>
      <c r="E14" s="79"/>
      <c r="F14" s="80">
        <v>9.7000000000000003E-3</v>
      </c>
      <c r="G14" s="428">
        <v>1.2699999999999999E-2</v>
      </c>
      <c r="H14" s="429"/>
      <c r="I14" s="108">
        <v>1.2699999999999999E-2</v>
      </c>
      <c r="M14" s="109">
        <v>5.0000000000000001E-3</v>
      </c>
      <c r="N14" s="428">
        <v>5.5999999999999999E-3</v>
      </c>
      <c r="O14" s="429"/>
      <c r="P14" s="108">
        <v>9.7000000000000003E-3</v>
      </c>
    </row>
    <row r="15" spans="2:16">
      <c r="B15" s="76" t="s">
        <v>225</v>
      </c>
      <c r="C15" s="77" t="s">
        <v>226</v>
      </c>
      <c r="D15" s="78">
        <v>6.0000000000000001E-3</v>
      </c>
      <c r="E15" s="79"/>
      <c r="F15" s="80">
        <v>5.8999999999999999E-3</v>
      </c>
      <c r="G15" s="428">
        <v>1.23E-2</v>
      </c>
      <c r="H15" s="429"/>
      <c r="I15" s="108">
        <v>1.3899999999999999E-2</v>
      </c>
      <c r="M15" s="80">
        <v>1.0200000000000001E-2</v>
      </c>
      <c r="N15" s="428">
        <v>1.11E-2</v>
      </c>
      <c r="O15" s="429"/>
      <c r="P15" s="108">
        <v>1.21E-2</v>
      </c>
    </row>
    <row r="16" spans="2:16">
      <c r="B16" s="76" t="s">
        <v>227</v>
      </c>
      <c r="C16" s="77" t="s">
        <v>228</v>
      </c>
      <c r="D16" s="78">
        <v>3.2000000000000001E-2</v>
      </c>
      <c r="E16" s="79"/>
      <c r="F16" s="80">
        <v>0.03</v>
      </c>
      <c r="G16" s="428">
        <v>0.04</v>
      </c>
      <c r="H16" s="429"/>
      <c r="I16" s="108">
        <v>5.5E-2</v>
      </c>
      <c r="M16" s="80">
        <v>3.7999999999999999E-2</v>
      </c>
      <c r="N16" s="428">
        <v>4.0099999999999997E-2</v>
      </c>
      <c r="O16" s="429"/>
      <c r="P16" s="108">
        <v>4.6699999999999998E-2</v>
      </c>
    </row>
    <row r="17" spans="2:16">
      <c r="B17" s="430" t="s">
        <v>229</v>
      </c>
      <c r="C17" s="431"/>
      <c r="D17" s="81">
        <f>SUM(D13:D16)</f>
        <v>3.7999999999999999E-2</v>
      </c>
      <c r="E17" s="82"/>
      <c r="F17" s="83"/>
      <c r="G17" s="432"/>
      <c r="H17" s="433"/>
      <c r="I17" s="110"/>
      <c r="M17" s="83"/>
      <c r="N17" s="432"/>
      <c r="O17" s="433"/>
      <c r="P17" s="110"/>
    </row>
    <row r="18" spans="2:16">
      <c r="B18" s="434"/>
      <c r="C18" s="435"/>
      <c r="D18" s="435"/>
      <c r="E18" s="84"/>
      <c r="F18" s="79"/>
      <c r="G18" s="79"/>
      <c r="H18" s="79"/>
      <c r="I18" s="111"/>
      <c r="M18" s="79"/>
      <c r="N18" s="79"/>
      <c r="O18" s="79"/>
      <c r="P18" s="111"/>
    </row>
    <row r="19" spans="2:16">
      <c r="B19" s="73" t="s">
        <v>230</v>
      </c>
      <c r="C19" s="424" t="s">
        <v>231</v>
      </c>
      <c r="D19" s="425"/>
      <c r="E19" s="74"/>
      <c r="F19" s="85"/>
      <c r="G19" s="436"/>
      <c r="H19" s="437"/>
      <c r="I19" s="112"/>
      <c r="M19" s="85"/>
      <c r="N19" s="436"/>
      <c r="O19" s="437"/>
      <c r="P19" s="112"/>
    </row>
    <row r="20" spans="2:16">
      <c r="B20" s="76" t="s">
        <v>232</v>
      </c>
      <c r="C20" s="77" t="s">
        <v>233</v>
      </c>
      <c r="D20" s="78">
        <v>6.8000000000000005E-2</v>
      </c>
      <c r="E20" s="79"/>
      <c r="F20" s="80">
        <v>6.1600000000000002E-2</v>
      </c>
      <c r="G20" s="428">
        <v>7.3999999999999996E-2</v>
      </c>
      <c r="H20" s="429"/>
      <c r="I20" s="108">
        <v>8.9599999999999999E-2</v>
      </c>
      <c r="M20" s="80">
        <v>6.6400000000000001E-2</v>
      </c>
      <c r="N20" s="428">
        <v>7.2999999999999995E-2</v>
      </c>
      <c r="O20" s="429"/>
      <c r="P20" s="108">
        <v>8.6900000000000005E-2</v>
      </c>
    </row>
    <row r="21" spans="2:16">
      <c r="B21" s="430" t="s">
        <v>234</v>
      </c>
      <c r="C21" s="431"/>
      <c r="D21" s="81">
        <f>SUM(D20)</f>
        <v>6.8000000000000005E-2</v>
      </c>
      <c r="E21" s="82"/>
      <c r="F21" s="83"/>
      <c r="G21" s="432"/>
      <c r="H21" s="433"/>
      <c r="I21" s="110"/>
      <c r="M21" s="83"/>
      <c r="N21" s="432"/>
      <c r="O21" s="433"/>
      <c r="P21" s="110"/>
    </row>
    <row r="22" spans="2:16">
      <c r="B22" s="434"/>
      <c r="C22" s="435"/>
      <c r="D22" s="435"/>
      <c r="E22" s="84"/>
      <c r="F22" s="79"/>
      <c r="G22" s="79"/>
      <c r="H22" s="79"/>
      <c r="I22" s="111"/>
    </row>
    <row r="23" spans="2:16" ht="12.75" customHeight="1">
      <c r="B23" s="73" t="s">
        <v>235</v>
      </c>
      <c r="C23" s="424" t="s">
        <v>236</v>
      </c>
      <c r="D23" s="425"/>
      <c r="E23" s="74"/>
      <c r="F23" s="438" t="s">
        <v>237</v>
      </c>
      <c r="G23" s="439"/>
      <c r="H23" s="439"/>
      <c r="I23" s="440"/>
    </row>
    <row r="24" spans="2:16" ht="12.75" customHeight="1">
      <c r="B24" s="76" t="s">
        <v>238</v>
      </c>
      <c r="C24" s="77" t="s">
        <v>239</v>
      </c>
      <c r="D24" s="78">
        <v>6.4999999999999997E-3</v>
      </c>
      <c r="E24" s="79"/>
      <c r="F24" s="445" t="s">
        <v>240</v>
      </c>
      <c r="G24" s="455" t="s">
        <v>241</v>
      </c>
      <c r="H24" s="456"/>
      <c r="I24" s="447" t="s">
        <v>242</v>
      </c>
    </row>
    <row r="25" spans="2:16">
      <c r="B25" s="76" t="s">
        <v>243</v>
      </c>
      <c r="C25" s="77" t="s">
        <v>135</v>
      </c>
      <c r="D25" s="78">
        <v>0.03</v>
      </c>
      <c r="E25" s="79"/>
      <c r="F25" s="446"/>
      <c r="G25" s="457"/>
      <c r="H25" s="458"/>
      <c r="I25" s="448"/>
    </row>
    <row r="26" spans="2:16">
      <c r="B26" s="473" t="s">
        <v>244</v>
      </c>
      <c r="C26" s="477" t="s">
        <v>245</v>
      </c>
      <c r="D26" s="481">
        <f>F27</f>
        <v>0.05</v>
      </c>
      <c r="E26" s="79"/>
      <c r="F26" s="88"/>
      <c r="G26" s="79"/>
      <c r="H26" s="79"/>
      <c r="I26" s="111"/>
    </row>
    <row r="27" spans="2:16">
      <c r="B27" s="474"/>
      <c r="C27" s="478"/>
      <c r="D27" s="482"/>
      <c r="E27" s="79"/>
      <c r="F27" s="89">
        <v>0.05</v>
      </c>
      <c r="G27" s="441">
        <v>0.6</v>
      </c>
      <c r="H27" s="442"/>
      <c r="I27" s="113">
        <f>F27*G27</f>
        <v>0.03</v>
      </c>
    </row>
    <row r="28" spans="2:16">
      <c r="B28" s="86" t="s">
        <v>246</v>
      </c>
      <c r="C28" s="90" t="s">
        <v>247</v>
      </c>
      <c r="D28" s="87"/>
      <c r="E28" s="79"/>
      <c r="F28" s="91"/>
      <c r="G28" s="91"/>
      <c r="H28" s="91"/>
      <c r="I28" s="114"/>
    </row>
    <row r="29" spans="2:16">
      <c r="B29" s="430" t="s">
        <v>248</v>
      </c>
      <c r="C29" s="431"/>
      <c r="D29" s="81">
        <f>SUM(D24:D28)</f>
        <v>8.6499999999999994E-2</v>
      </c>
      <c r="E29" s="82"/>
      <c r="F29" s="92"/>
      <c r="G29" s="92"/>
      <c r="H29" s="92"/>
      <c r="I29" s="115"/>
    </row>
    <row r="30" spans="2:16">
      <c r="B30" s="469"/>
      <c r="C30" s="470"/>
      <c r="D30" s="470"/>
      <c r="E30" s="93"/>
      <c r="F30" s="92"/>
      <c r="G30" s="92"/>
      <c r="H30" s="92"/>
      <c r="I30" s="115"/>
    </row>
    <row r="31" spans="2:16">
      <c r="B31" s="94"/>
      <c r="C31" s="74" t="s">
        <v>249</v>
      </c>
      <c r="D31" s="95"/>
      <c r="E31" s="95"/>
      <c r="F31" s="92"/>
      <c r="G31" s="92"/>
      <c r="H31" s="92"/>
      <c r="I31" s="115"/>
    </row>
    <row r="32" spans="2:16">
      <c r="B32" s="96"/>
      <c r="C32" s="93"/>
      <c r="D32" s="93"/>
      <c r="E32" s="93"/>
      <c r="F32" s="92"/>
      <c r="G32" s="92"/>
      <c r="H32" s="92"/>
      <c r="I32" s="115"/>
    </row>
    <row r="33" spans="2:9">
      <c r="B33" s="459" t="s">
        <v>250</v>
      </c>
      <c r="C33" s="460"/>
      <c r="D33" s="461"/>
      <c r="E33" s="97"/>
      <c r="F33" s="92"/>
      <c r="G33" s="92"/>
      <c r="H33" s="92"/>
      <c r="I33" s="115"/>
    </row>
    <row r="34" spans="2:9">
      <c r="B34" s="462"/>
      <c r="C34" s="463"/>
      <c r="D34" s="464"/>
      <c r="E34" s="97"/>
      <c r="F34" s="92"/>
      <c r="G34" s="92"/>
      <c r="H34" s="92"/>
      <c r="I34" s="115"/>
    </row>
    <row r="35" spans="2:9">
      <c r="B35" s="98"/>
      <c r="C35" s="99"/>
      <c r="D35" s="100"/>
      <c r="E35" s="100"/>
      <c r="F35" s="92"/>
      <c r="G35" s="92"/>
      <c r="H35" s="92"/>
      <c r="I35" s="115"/>
    </row>
    <row r="36" spans="2:9" ht="15.75">
      <c r="B36" s="465" t="s">
        <v>251</v>
      </c>
      <c r="C36" s="466"/>
      <c r="D36" s="443">
        <f>(((1+D16+D13+D14)*(1+D15)*(1+D21))/(1-D29))-1</f>
        <v>0.21378112315270936</v>
      </c>
      <c r="E36" s="101"/>
      <c r="F36" s="92"/>
      <c r="G36" s="92"/>
      <c r="H36" s="92"/>
      <c r="I36" s="115"/>
    </row>
    <row r="37" spans="2:9" ht="15.75">
      <c r="B37" s="467"/>
      <c r="C37" s="468"/>
      <c r="D37" s="444"/>
      <c r="E37" s="102"/>
      <c r="F37" s="103"/>
      <c r="G37" s="103"/>
      <c r="H37" s="103"/>
      <c r="I37" s="116"/>
    </row>
  </sheetData>
  <mergeCells count="53">
    <mergeCell ref="D36:D37"/>
    <mergeCell ref="F24:F25"/>
    <mergeCell ref="I24:I25"/>
    <mergeCell ref="M8:P9"/>
    <mergeCell ref="F8:I9"/>
    <mergeCell ref="G24:H25"/>
    <mergeCell ref="B33:D34"/>
    <mergeCell ref="B36:C37"/>
    <mergeCell ref="B30:D30"/>
    <mergeCell ref="B9:B10"/>
    <mergeCell ref="B26:B27"/>
    <mergeCell ref="C9:C10"/>
    <mergeCell ref="C26:C27"/>
    <mergeCell ref="D9:D10"/>
    <mergeCell ref="D26:D27"/>
    <mergeCell ref="B22:D22"/>
    <mergeCell ref="C23:D23"/>
    <mergeCell ref="F23:I23"/>
    <mergeCell ref="G27:H27"/>
    <mergeCell ref="B29:C29"/>
    <mergeCell ref="G20:H20"/>
    <mergeCell ref="N20:O20"/>
    <mergeCell ref="B21:C21"/>
    <mergeCell ref="G21:H21"/>
    <mergeCell ref="N21:O21"/>
    <mergeCell ref="B17:C17"/>
    <mergeCell ref="G17:H17"/>
    <mergeCell ref="N17:O17"/>
    <mergeCell ref="B18:D18"/>
    <mergeCell ref="C19:D19"/>
    <mergeCell ref="G19:H19"/>
    <mergeCell ref="N19:O19"/>
    <mergeCell ref="G14:H14"/>
    <mergeCell ref="N14:O14"/>
    <mergeCell ref="G15:H15"/>
    <mergeCell ref="N15:O15"/>
    <mergeCell ref="G16:H16"/>
    <mergeCell ref="N16:O16"/>
    <mergeCell ref="C12:D12"/>
    <mergeCell ref="G12:H12"/>
    <mergeCell ref="N12:O12"/>
    <mergeCell ref="G13:H13"/>
    <mergeCell ref="N13:O13"/>
    <mergeCell ref="M7:P7"/>
    <mergeCell ref="B8:D8"/>
    <mergeCell ref="G10:H10"/>
    <mergeCell ref="N10:O10"/>
    <mergeCell ref="B11:D11"/>
    <mergeCell ref="B2:I2"/>
    <mergeCell ref="B3:I3"/>
    <mergeCell ref="C4:I4"/>
    <mergeCell ref="C5:I5"/>
    <mergeCell ref="B6:I6"/>
  </mergeCells>
  <pageMargins left="0.511811024" right="0.511811024" top="0.78740157499999996" bottom="0.78740157499999996" header="0.31496062000000002" footer="0.31496062000000002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G53"/>
  <sheetViews>
    <sheetView tabSelected="1" view="pageBreakPreview" zoomScaleNormal="100" zoomScaleSheetLayoutView="100" workbookViewId="0">
      <selection activeCell="G20" sqref="G20"/>
    </sheetView>
  </sheetViews>
  <sheetFormatPr defaultColWidth="9" defaultRowHeight="12.75"/>
  <cols>
    <col min="1" max="1" width="9" style="27"/>
    <col min="2" max="2" width="36.140625" style="27" customWidth="1"/>
    <col min="3" max="3" width="39.85546875" style="27" customWidth="1"/>
    <col min="4" max="4" width="16.7109375" style="27" hidden="1" customWidth="1"/>
    <col min="5" max="5" width="16.85546875" style="27" hidden="1" customWidth="1"/>
    <col min="6" max="6" width="13.140625" style="27" customWidth="1"/>
    <col min="7" max="7" width="16.85546875" style="27" customWidth="1"/>
    <col min="8" max="16384" width="9" style="27"/>
  </cols>
  <sheetData>
    <row r="2" spans="2:7">
      <c r="B2" s="28"/>
      <c r="C2" s="29"/>
      <c r="D2" s="29"/>
      <c r="E2" s="29"/>
      <c r="F2" s="29"/>
      <c r="G2" s="30"/>
    </row>
    <row r="3" spans="2:7">
      <c r="B3" s="31"/>
      <c r="C3" s="32"/>
      <c r="D3" s="32"/>
      <c r="E3" s="32"/>
      <c r="F3" s="32"/>
      <c r="G3" s="33"/>
    </row>
    <row r="4" spans="2:7">
      <c r="B4" s="31"/>
      <c r="C4" s="32"/>
      <c r="D4" s="32"/>
      <c r="E4" s="32"/>
      <c r="F4" s="32"/>
      <c r="G4" s="33"/>
    </row>
    <row r="5" spans="2:7">
      <c r="B5" s="31"/>
      <c r="C5" s="32"/>
      <c r="D5" s="32"/>
      <c r="E5" s="32"/>
      <c r="F5" s="32"/>
      <c r="G5" s="33"/>
    </row>
    <row r="6" spans="2:7">
      <c r="B6" s="31"/>
      <c r="C6" s="32"/>
      <c r="D6" s="32"/>
      <c r="E6" s="32"/>
      <c r="F6" s="32"/>
      <c r="G6" s="33"/>
    </row>
    <row r="7" spans="2:7">
      <c r="B7" s="34" t="s">
        <v>252</v>
      </c>
      <c r="C7" s="35"/>
      <c r="D7" s="36"/>
      <c r="E7" s="36"/>
      <c r="F7" s="36"/>
      <c r="G7" s="37"/>
    </row>
    <row r="8" spans="2:7">
      <c r="B8" s="34" t="s">
        <v>253</v>
      </c>
      <c r="C8" s="35"/>
      <c r="D8" s="36"/>
      <c r="E8" s="36"/>
      <c r="F8" s="36"/>
      <c r="G8" s="37"/>
    </row>
    <row r="9" spans="2:7">
      <c r="B9" s="34" t="s">
        <v>254</v>
      </c>
      <c r="C9" s="35"/>
      <c r="D9" s="36"/>
      <c r="E9" s="36"/>
      <c r="F9" s="36"/>
      <c r="G9" s="37"/>
    </row>
    <row r="10" spans="2:7">
      <c r="B10" s="495"/>
      <c r="C10" s="496"/>
      <c r="D10" s="496"/>
      <c r="E10" s="496"/>
      <c r="F10" s="496"/>
      <c r="G10" s="497"/>
    </row>
    <row r="11" spans="2:7">
      <c r="B11" s="498"/>
      <c r="C11" s="499"/>
      <c r="D11" s="499"/>
      <c r="E11" s="499"/>
      <c r="F11" s="499"/>
      <c r="G11" s="500"/>
    </row>
    <row r="12" spans="2:7" ht="15.75">
      <c r="B12" s="488" t="s">
        <v>328</v>
      </c>
      <c r="C12" s="489"/>
      <c r="D12" s="489"/>
      <c r="E12" s="489"/>
      <c r="F12" s="489"/>
      <c r="G12" s="490"/>
    </row>
    <row r="13" spans="2:7" ht="15.75">
      <c r="B13" s="39" t="s">
        <v>255</v>
      </c>
      <c r="C13" s="38"/>
      <c r="D13" s="491" t="s">
        <v>256</v>
      </c>
      <c r="E13" s="492"/>
      <c r="F13" s="491" t="s">
        <v>257</v>
      </c>
      <c r="G13" s="490"/>
    </row>
    <row r="14" spans="2:7" ht="15">
      <c r="B14" s="483"/>
      <c r="C14" s="484"/>
      <c r="D14" s="484"/>
      <c r="E14" s="484"/>
      <c r="F14" s="484"/>
      <c r="G14" s="485"/>
    </row>
    <row r="15" spans="2:7">
      <c r="B15" s="501"/>
      <c r="C15" s="502"/>
      <c r="D15" s="493" t="s">
        <v>258</v>
      </c>
      <c r="E15" s="493" t="s">
        <v>259</v>
      </c>
      <c r="F15" s="493" t="s">
        <v>258</v>
      </c>
      <c r="G15" s="494" t="s">
        <v>259</v>
      </c>
    </row>
    <row r="16" spans="2:7">
      <c r="B16" s="501"/>
      <c r="C16" s="502"/>
      <c r="D16" s="493"/>
      <c r="E16" s="493"/>
      <c r="F16" s="493"/>
      <c r="G16" s="494"/>
    </row>
    <row r="17" spans="2:7" ht="15.75">
      <c r="B17" s="488" t="s">
        <v>260</v>
      </c>
      <c r="C17" s="489"/>
      <c r="D17" s="489"/>
      <c r="E17" s="489"/>
      <c r="F17" s="489"/>
      <c r="G17" s="490"/>
    </row>
    <row r="18" spans="2:7" ht="15">
      <c r="B18" s="41" t="s">
        <v>221</v>
      </c>
      <c r="C18" s="42" t="s">
        <v>261</v>
      </c>
      <c r="D18" s="43">
        <v>0</v>
      </c>
      <c r="E18" s="43">
        <v>0</v>
      </c>
      <c r="F18" s="43">
        <v>20</v>
      </c>
      <c r="G18" s="44">
        <v>20</v>
      </c>
    </row>
    <row r="19" spans="2:7" ht="15">
      <c r="B19" s="45" t="s">
        <v>223</v>
      </c>
      <c r="C19" s="46" t="s">
        <v>262</v>
      </c>
      <c r="D19" s="47">
        <v>1.5</v>
      </c>
      <c r="E19" s="47">
        <v>1.5</v>
      </c>
      <c r="F19" s="47">
        <v>1.5</v>
      </c>
      <c r="G19" s="48">
        <v>1.5</v>
      </c>
    </row>
    <row r="20" spans="2:7" ht="15">
      <c r="B20" s="45" t="s">
        <v>225</v>
      </c>
      <c r="C20" s="46" t="s">
        <v>263</v>
      </c>
      <c r="D20" s="47">
        <v>1</v>
      </c>
      <c r="E20" s="47">
        <v>1</v>
      </c>
      <c r="F20" s="47">
        <v>1</v>
      </c>
      <c r="G20" s="48">
        <v>1</v>
      </c>
    </row>
    <row r="21" spans="2:7" ht="15">
      <c r="B21" s="45" t="s">
        <v>227</v>
      </c>
      <c r="C21" s="46" t="s">
        <v>264</v>
      </c>
      <c r="D21" s="47">
        <v>0.2</v>
      </c>
      <c r="E21" s="47">
        <v>0.2</v>
      </c>
      <c r="F21" s="47">
        <v>0.2</v>
      </c>
      <c r="G21" s="48">
        <v>0.2</v>
      </c>
    </row>
    <row r="22" spans="2:7" ht="15">
      <c r="B22" s="45" t="s">
        <v>265</v>
      </c>
      <c r="C22" s="46" t="s">
        <v>266</v>
      </c>
      <c r="D22" s="47">
        <v>0.6</v>
      </c>
      <c r="E22" s="47">
        <v>0.6</v>
      </c>
      <c r="F22" s="47">
        <v>0.6</v>
      </c>
      <c r="G22" s="48">
        <v>0.6</v>
      </c>
    </row>
    <row r="23" spans="2:7" ht="15">
      <c r="B23" s="45" t="s">
        <v>267</v>
      </c>
      <c r="C23" s="46" t="s">
        <v>268</v>
      </c>
      <c r="D23" s="47">
        <v>2.5</v>
      </c>
      <c r="E23" s="47">
        <v>2.5</v>
      </c>
      <c r="F23" s="47">
        <v>2.5</v>
      </c>
      <c r="G23" s="48">
        <v>2.5</v>
      </c>
    </row>
    <row r="24" spans="2:7" ht="15">
      <c r="B24" s="45" t="s">
        <v>269</v>
      </c>
      <c r="C24" s="46" t="s">
        <v>270</v>
      </c>
      <c r="D24" s="47">
        <v>3</v>
      </c>
      <c r="E24" s="47">
        <v>3</v>
      </c>
      <c r="F24" s="47">
        <v>3</v>
      </c>
      <c r="G24" s="48">
        <v>3</v>
      </c>
    </row>
    <row r="25" spans="2:7" ht="15">
      <c r="B25" s="45" t="s">
        <v>271</v>
      </c>
      <c r="C25" s="46" t="s">
        <v>272</v>
      </c>
      <c r="D25" s="47">
        <v>8</v>
      </c>
      <c r="E25" s="47">
        <v>8</v>
      </c>
      <c r="F25" s="47">
        <v>8</v>
      </c>
      <c r="G25" s="48">
        <v>8</v>
      </c>
    </row>
    <row r="26" spans="2:7" ht="15">
      <c r="B26" s="49" t="s">
        <v>273</v>
      </c>
      <c r="C26" s="50" t="s">
        <v>274</v>
      </c>
      <c r="D26" s="51">
        <v>0</v>
      </c>
      <c r="E26" s="51">
        <v>0</v>
      </c>
      <c r="F26" s="51">
        <v>0</v>
      </c>
      <c r="G26" s="52">
        <v>0</v>
      </c>
    </row>
    <row r="27" spans="2:7" ht="15.75">
      <c r="B27" s="40" t="s">
        <v>275</v>
      </c>
      <c r="C27" s="53" t="s">
        <v>132</v>
      </c>
      <c r="D27" s="54">
        <f>SUM(D18:D26)</f>
        <v>16.8</v>
      </c>
      <c r="E27" s="54">
        <f>SUM(E18:E26)</f>
        <v>16.8</v>
      </c>
      <c r="F27" s="54">
        <f>SUM(F18:F26)</f>
        <v>36.799999999999997</v>
      </c>
      <c r="G27" s="55">
        <f>SUM(G18:G26)</f>
        <v>36.799999999999997</v>
      </c>
    </row>
    <row r="28" spans="2:7" ht="15.75">
      <c r="B28" s="488" t="s">
        <v>276</v>
      </c>
      <c r="C28" s="489"/>
      <c r="D28" s="489"/>
      <c r="E28" s="489"/>
      <c r="F28" s="489"/>
      <c r="G28" s="490"/>
    </row>
    <row r="29" spans="2:7" ht="15">
      <c r="B29" s="41" t="s">
        <v>277</v>
      </c>
      <c r="C29" s="42" t="s">
        <v>278</v>
      </c>
      <c r="D29" s="43">
        <v>17.97</v>
      </c>
      <c r="E29" s="43" t="s">
        <v>279</v>
      </c>
      <c r="F29" s="43">
        <v>17.97</v>
      </c>
      <c r="G29" s="44" t="s">
        <v>279</v>
      </c>
    </row>
    <row r="30" spans="2:7" ht="15">
      <c r="B30" s="45" t="s">
        <v>280</v>
      </c>
      <c r="C30" s="46" t="s">
        <v>281</v>
      </c>
      <c r="D30" s="47">
        <v>3.96</v>
      </c>
      <c r="E30" s="47" t="s">
        <v>279</v>
      </c>
      <c r="F30" s="47">
        <v>3.96</v>
      </c>
      <c r="G30" s="48" t="s">
        <v>279</v>
      </c>
    </row>
    <row r="31" spans="2:7" ht="15">
      <c r="B31" s="45" t="s">
        <v>282</v>
      </c>
      <c r="C31" s="46" t="s">
        <v>283</v>
      </c>
      <c r="D31" s="47">
        <v>0.86</v>
      </c>
      <c r="E31" s="47">
        <v>0.66</v>
      </c>
      <c r="F31" s="47">
        <v>0.86</v>
      </c>
      <c r="G31" s="48">
        <v>0.66</v>
      </c>
    </row>
    <row r="32" spans="2:7" ht="15">
      <c r="B32" s="45" t="s">
        <v>284</v>
      </c>
      <c r="C32" s="46" t="s">
        <v>285</v>
      </c>
      <c r="D32" s="47">
        <v>10.97</v>
      </c>
      <c r="E32" s="47">
        <v>8.33</v>
      </c>
      <c r="F32" s="47">
        <v>10.97</v>
      </c>
      <c r="G32" s="48">
        <v>8.33</v>
      </c>
    </row>
    <row r="33" spans="2:7" ht="15">
      <c r="B33" s="45" t="s">
        <v>286</v>
      </c>
      <c r="C33" s="46" t="s">
        <v>287</v>
      </c>
      <c r="D33" s="47">
        <v>7.0000000000000007E-2</v>
      </c>
      <c r="E33" s="47">
        <v>0.06</v>
      </c>
      <c r="F33" s="47">
        <v>7.0000000000000007E-2</v>
      </c>
      <c r="G33" s="48">
        <v>0.06</v>
      </c>
    </row>
    <row r="34" spans="2:7" ht="15">
      <c r="B34" s="45" t="s">
        <v>288</v>
      </c>
      <c r="C34" s="46" t="s">
        <v>289</v>
      </c>
      <c r="D34" s="47">
        <v>0.73</v>
      </c>
      <c r="E34" s="47">
        <v>0.56000000000000005</v>
      </c>
      <c r="F34" s="47">
        <v>0.73</v>
      </c>
      <c r="G34" s="48">
        <v>0.56000000000000005</v>
      </c>
    </row>
    <row r="35" spans="2:7" ht="15">
      <c r="B35" s="45" t="s">
        <v>290</v>
      </c>
      <c r="C35" s="46" t="s">
        <v>291</v>
      </c>
      <c r="D35" s="47">
        <v>2.04</v>
      </c>
      <c r="E35" s="47" t="s">
        <v>279</v>
      </c>
      <c r="F35" s="47">
        <v>2.04</v>
      </c>
      <c r="G35" s="48" t="s">
        <v>279</v>
      </c>
    </row>
    <row r="36" spans="2:7" ht="15">
      <c r="B36" s="45" t="s">
        <v>292</v>
      </c>
      <c r="C36" s="46" t="s">
        <v>293</v>
      </c>
      <c r="D36" s="47">
        <v>0.1</v>
      </c>
      <c r="E36" s="47">
        <v>0.08</v>
      </c>
      <c r="F36" s="47">
        <v>0.1</v>
      </c>
      <c r="G36" s="48">
        <v>0.08</v>
      </c>
    </row>
    <row r="37" spans="2:7" ht="15">
      <c r="B37" s="45" t="s">
        <v>294</v>
      </c>
      <c r="C37" s="46" t="s">
        <v>295</v>
      </c>
      <c r="D37" s="47">
        <v>10.34</v>
      </c>
      <c r="E37" s="47">
        <v>7.85</v>
      </c>
      <c r="F37" s="47">
        <v>10.34</v>
      </c>
      <c r="G37" s="48">
        <v>7.85</v>
      </c>
    </row>
    <row r="38" spans="2:7" ht="15">
      <c r="B38" s="49" t="s">
        <v>296</v>
      </c>
      <c r="C38" s="50" t="s">
        <v>297</v>
      </c>
      <c r="D38" s="51">
        <v>0.03</v>
      </c>
      <c r="E38" s="51">
        <v>0.02</v>
      </c>
      <c r="F38" s="51">
        <v>0.03</v>
      </c>
      <c r="G38" s="52">
        <v>0.02</v>
      </c>
    </row>
    <row r="39" spans="2:7" ht="15.75">
      <c r="B39" s="40" t="s">
        <v>298</v>
      </c>
      <c r="C39" s="53" t="s">
        <v>299</v>
      </c>
      <c r="D39" s="54">
        <f>SUM(D29:D38)</f>
        <v>47.069999999999993</v>
      </c>
      <c r="E39" s="54">
        <f>SUM(E29:E38)</f>
        <v>17.559999999999999</v>
      </c>
      <c r="F39" s="54">
        <f>SUM(F29:F38)</f>
        <v>47.069999999999993</v>
      </c>
      <c r="G39" s="55">
        <f>SUM(G29:G38)</f>
        <v>17.559999999999999</v>
      </c>
    </row>
    <row r="40" spans="2:7" ht="15.75">
      <c r="B40" s="488" t="s">
        <v>300</v>
      </c>
      <c r="C40" s="489"/>
      <c r="D40" s="489"/>
      <c r="E40" s="489"/>
      <c r="F40" s="489"/>
      <c r="G40" s="490"/>
    </row>
    <row r="41" spans="2:7" ht="15">
      <c r="B41" s="41" t="s">
        <v>301</v>
      </c>
      <c r="C41" s="42" t="s">
        <v>302</v>
      </c>
      <c r="D41" s="43">
        <v>5.44</v>
      </c>
      <c r="E41" s="43">
        <v>4.13</v>
      </c>
      <c r="F41" s="43">
        <v>5.44</v>
      </c>
      <c r="G41" s="44">
        <v>4.13</v>
      </c>
    </row>
    <row r="42" spans="2:7" ht="15">
      <c r="B42" s="45" t="s">
        <v>303</v>
      </c>
      <c r="C42" s="46" t="s">
        <v>304</v>
      </c>
      <c r="D42" s="47">
        <v>0.13</v>
      </c>
      <c r="E42" s="47">
        <v>0.1</v>
      </c>
      <c r="F42" s="47">
        <v>0.13</v>
      </c>
      <c r="G42" s="48">
        <v>0.1</v>
      </c>
    </row>
    <row r="43" spans="2:7" ht="15">
      <c r="B43" s="45" t="s">
        <v>305</v>
      </c>
      <c r="C43" s="46" t="s">
        <v>306</v>
      </c>
      <c r="D43" s="47">
        <v>3.41</v>
      </c>
      <c r="E43" s="47">
        <v>2.59</v>
      </c>
      <c r="F43" s="47">
        <v>3.41</v>
      </c>
      <c r="G43" s="48">
        <v>2.59</v>
      </c>
    </row>
    <row r="44" spans="2:7" ht="15">
      <c r="B44" s="45" t="s">
        <v>307</v>
      </c>
      <c r="C44" s="46" t="s">
        <v>308</v>
      </c>
      <c r="D44" s="47">
        <v>3.36</v>
      </c>
      <c r="E44" s="47">
        <v>2.5499999999999998</v>
      </c>
      <c r="F44" s="47">
        <v>3.36</v>
      </c>
      <c r="G44" s="48">
        <v>2.5499999999999998</v>
      </c>
    </row>
    <row r="45" spans="2:7" ht="15">
      <c r="B45" s="49" t="s">
        <v>309</v>
      </c>
      <c r="C45" s="50" t="s">
        <v>310</v>
      </c>
      <c r="D45" s="51">
        <v>0.46</v>
      </c>
      <c r="E45" s="51">
        <v>0.35</v>
      </c>
      <c r="F45" s="51">
        <v>0.46</v>
      </c>
      <c r="G45" s="52">
        <v>0.35</v>
      </c>
    </row>
    <row r="46" spans="2:7" ht="15.75">
      <c r="B46" s="40" t="s">
        <v>311</v>
      </c>
      <c r="C46" s="53" t="s">
        <v>299</v>
      </c>
      <c r="D46" s="54">
        <f>SUM(D41:D45)</f>
        <v>12.8</v>
      </c>
      <c r="E46" s="54">
        <f>SUM(E41:E45)</f>
        <v>9.7199999999999989</v>
      </c>
      <c r="F46" s="54">
        <f>SUM(F41:F45)</f>
        <v>12.8</v>
      </c>
      <c r="G46" s="55">
        <f>SUM(G41:G45)</f>
        <v>9.7199999999999989</v>
      </c>
    </row>
    <row r="47" spans="2:7" ht="15.75">
      <c r="B47" s="488" t="s">
        <v>312</v>
      </c>
      <c r="C47" s="489"/>
      <c r="D47" s="489"/>
      <c r="E47" s="489"/>
      <c r="F47" s="489"/>
      <c r="G47" s="490"/>
    </row>
    <row r="48" spans="2:7" ht="15">
      <c r="B48" s="41" t="s">
        <v>313</v>
      </c>
      <c r="C48" s="42" t="s">
        <v>314</v>
      </c>
      <c r="D48" s="43">
        <v>7.91</v>
      </c>
      <c r="E48" s="43">
        <v>2.95</v>
      </c>
      <c r="F48" s="43">
        <v>17.32</v>
      </c>
      <c r="G48" s="44">
        <v>6.46</v>
      </c>
    </row>
    <row r="49" spans="2:7" ht="76.5" customHeight="1">
      <c r="B49" s="56" t="s">
        <v>315</v>
      </c>
      <c r="C49" s="57" t="s">
        <v>316</v>
      </c>
      <c r="D49" s="51">
        <v>0.46</v>
      </c>
      <c r="E49" s="51">
        <v>0.35</v>
      </c>
      <c r="F49" s="51">
        <v>0.48</v>
      </c>
      <c r="G49" s="52">
        <v>0.37</v>
      </c>
    </row>
    <row r="50" spans="2:7" ht="15.75">
      <c r="B50" s="40" t="s">
        <v>317</v>
      </c>
      <c r="C50" s="53" t="s">
        <v>132</v>
      </c>
      <c r="D50" s="54">
        <f>SUM(D48:D49)</f>
        <v>8.370000000000001</v>
      </c>
      <c r="E50" s="54">
        <f>SUM(E48:E49)</f>
        <v>3.3000000000000003</v>
      </c>
      <c r="F50" s="54">
        <f>SUM(F48:F49)</f>
        <v>17.8</v>
      </c>
      <c r="G50" s="55">
        <f>SUM(G48:G49)</f>
        <v>6.83</v>
      </c>
    </row>
    <row r="51" spans="2:7" ht="15">
      <c r="B51" s="483"/>
      <c r="C51" s="484"/>
      <c r="D51" s="484"/>
      <c r="E51" s="484"/>
      <c r="F51" s="484"/>
      <c r="G51" s="485"/>
    </row>
    <row r="52" spans="2:7" ht="15.75">
      <c r="B52" s="486" t="s">
        <v>318</v>
      </c>
      <c r="C52" s="487"/>
      <c r="D52" s="58">
        <f>D27+D39+D46+D50</f>
        <v>85.039999999999992</v>
      </c>
      <c r="E52" s="58">
        <f>E27+E39+E46+E50</f>
        <v>47.379999999999995</v>
      </c>
      <c r="F52" s="59">
        <f>(F27+F39+F46+F50)/100</f>
        <v>1.1446999999999998</v>
      </c>
      <c r="G52" s="60">
        <f>(G27+G39+G46+G50)/100</f>
        <v>0.70909999999999995</v>
      </c>
    </row>
    <row r="53" spans="2:7" ht="15">
      <c r="B53" s="61"/>
      <c r="C53" s="61"/>
      <c r="D53" s="61"/>
      <c r="E53" s="61"/>
      <c r="F53" s="61"/>
      <c r="G53" s="61"/>
    </row>
  </sheetData>
  <mergeCells count="16">
    <mergeCell ref="B10:G11"/>
    <mergeCell ref="B15:C16"/>
    <mergeCell ref="B28:G28"/>
    <mergeCell ref="B40:G40"/>
    <mergeCell ref="B47:G47"/>
    <mergeCell ref="B51:G51"/>
    <mergeCell ref="B52:C52"/>
    <mergeCell ref="B12:G12"/>
    <mergeCell ref="D13:E13"/>
    <mergeCell ref="F13:G13"/>
    <mergeCell ref="B14:G14"/>
    <mergeCell ref="B17:G17"/>
    <mergeCell ref="D15:D16"/>
    <mergeCell ref="E15:E16"/>
    <mergeCell ref="F15:F16"/>
    <mergeCell ref="G15:G16"/>
  </mergeCells>
  <pageMargins left="0.75" right="0.75" top="1" bottom="1" header="0.5" footer="0.5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8</vt:i4>
      </vt:variant>
    </vt:vector>
  </HeadingPairs>
  <TitlesOfParts>
    <vt:vector size="16" baseType="lpstr">
      <vt:lpstr>Planilha - PORTO SEGURO</vt:lpstr>
      <vt:lpstr>Cronograma - PORTO SEGURO</vt:lpstr>
      <vt:lpstr>MC - Porto Seguro</vt:lpstr>
      <vt:lpstr>Mobilização - PORTO SEGURO</vt:lpstr>
      <vt:lpstr>CPU 01 - SERVIÇOS PRELIMINARES</vt:lpstr>
      <vt:lpstr>CPU 02</vt:lpstr>
      <vt:lpstr>BDI</vt:lpstr>
      <vt:lpstr>ENC SOCIAIS</vt:lpstr>
      <vt:lpstr>BDI!Area_de_impressao</vt:lpstr>
      <vt:lpstr>'CPU 01 - SERVIÇOS PRELIMINARES'!Area_de_impressao</vt:lpstr>
      <vt:lpstr>'CPU 02'!Area_de_impressao</vt:lpstr>
      <vt:lpstr>'Cronograma - PORTO SEGURO'!Area_de_impressao</vt:lpstr>
      <vt:lpstr>'ENC SOCIAIS'!Area_de_impressao</vt:lpstr>
      <vt:lpstr>'MC - Porto Seguro'!Area_de_impressao</vt:lpstr>
      <vt:lpstr>'Planilha - PORTO SEGURO'!Area_de_impressao</vt:lpstr>
      <vt:lpstr>'Planilha - PORTO SEGURO'!Titulos_de_impressao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João Luiz Volpato Pazin</cp:lastModifiedBy>
  <cp:lastPrinted>2018-07-17T17:06:00Z</cp:lastPrinted>
  <dcterms:created xsi:type="dcterms:W3CDTF">1998-01-22T12:19:00Z</dcterms:created>
  <dcterms:modified xsi:type="dcterms:W3CDTF">2021-11-24T13:21:47Z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