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1.50.61\Armazenamento\2ª_GRD\07-LICITAÇÕES 2021\10-CONSTRUÇÃO DE DIVERSAS PRAÇAS\01-CD LICITAÇÃO\02-DOC_PRAÇA IBOTIRAMA\"/>
    </mc:Choice>
  </mc:AlternateContent>
  <bookViews>
    <workbookView xWindow="0" yWindow="0" windowWidth="24000" windowHeight="9735" tabRatio="876" activeTab="5"/>
  </bookViews>
  <sheets>
    <sheet name="Planilha - IBOTIRAMA" sheetId="89" r:id="rId1"/>
    <sheet name="Cronograma - IBOTIRAMA" sheetId="90" r:id="rId2"/>
    <sheet name="MC - Ibotirama" sheetId="91" r:id="rId3"/>
    <sheet name="Mobilização - IBOTIRAMA" sheetId="92" r:id="rId4"/>
    <sheet name="CPU 01 - SERVIÇOS PRELIMINARES" sheetId="74" r:id="rId5"/>
    <sheet name="CPU 02" sheetId="70" r:id="rId6"/>
    <sheet name="BDI" sheetId="77" r:id="rId7"/>
    <sheet name="ENC SOCIAIS" sheetId="97" r:id="rId8"/>
  </sheets>
  <definedNames>
    <definedName name="AccessDatabase" hidden="1">"D:\Arquivos do excel\Planilha modelo1.mdb"</definedName>
    <definedName name="af" localSheetId="4">#REF!</definedName>
    <definedName name="af" localSheetId="1">#REF!</definedName>
    <definedName name="af" localSheetId="2">#REF!</definedName>
    <definedName name="af" localSheetId="3">#REF!</definedName>
    <definedName name="af" localSheetId="0">#REF!</definedName>
    <definedName name="af">#REF!</definedName>
    <definedName name="ag" localSheetId="4">#REF!</definedName>
    <definedName name="ag" localSheetId="1">#REF!</definedName>
    <definedName name="ag" localSheetId="2">#REF!</definedName>
    <definedName name="ag" localSheetId="3">#REF!</definedName>
    <definedName name="ag" localSheetId="0">#REF!</definedName>
    <definedName name="ag">#REF!</definedName>
    <definedName name="_xlnm.Print_Area" localSheetId="6">BDI!$B$2:$I$37</definedName>
    <definedName name="_xlnm.Print_Area" localSheetId="4">'CPU 01 - SERVIÇOS PRELIMINARES'!$A$1:$H$53</definedName>
    <definedName name="_xlnm.Print_Area" localSheetId="5">'CPU 02'!$A$1:$H$97</definedName>
    <definedName name="_xlnm.Print_Area" localSheetId="1">'Cronograma - IBOTIRAMA'!$A$1:$F$46</definedName>
    <definedName name="_xlnm.Print_Area" localSheetId="7">'ENC SOCIAIS'!$B$2:$G$52</definedName>
    <definedName name="_xlnm.Print_Area" localSheetId="2">'MC - Ibotirama'!$A$1:$E$84</definedName>
    <definedName name="_xlnm.Print_Area" localSheetId="0">'Planilha - IBOTIRAMA'!$A$1:$J$105</definedName>
    <definedName name="BALTO" localSheetId="4">#REF!</definedName>
    <definedName name="BALTO" localSheetId="1">#REF!</definedName>
    <definedName name="BALTO" localSheetId="2">#REF!</definedName>
    <definedName name="BALTO" localSheetId="3">#REF!</definedName>
    <definedName name="BALTO" localSheetId="0">#REF!</definedName>
    <definedName name="BALTO">#REF!</definedName>
    <definedName name="cho" localSheetId="4">#REF!</definedName>
    <definedName name="cho" localSheetId="1">#REF!</definedName>
    <definedName name="cho" localSheetId="2">#REF!</definedName>
    <definedName name="cho" localSheetId="3">#REF!</definedName>
    <definedName name="cho" localSheetId="0">#REF!</definedName>
    <definedName name="cho">#REF!</definedName>
    <definedName name="ci" localSheetId="4">#REF!</definedName>
    <definedName name="ci" localSheetId="1">#REF!</definedName>
    <definedName name="ci" localSheetId="2">#REF!</definedName>
    <definedName name="ci" localSheetId="3">#REF!</definedName>
    <definedName name="ci" localSheetId="0">#REF!</definedName>
    <definedName name="ci">#REF!</definedName>
    <definedName name="COD_ATRIUM" localSheetId="4">#REF!</definedName>
    <definedName name="COD_ATRIUM" localSheetId="1">#REF!</definedName>
    <definedName name="COD_ATRIUM" localSheetId="2">#REF!</definedName>
    <definedName name="COD_ATRIUM" localSheetId="3">#REF!</definedName>
    <definedName name="COD_ATRIUM" localSheetId="0">#REF!</definedName>
    <definedName name="COD_ATRIUM">#REF!</definedName>
    <definedName name="COD_SINAPI" localSheetId="4">#REF!</definedName>
    <definedName name="COD_SINAPI" localSheetId="1">#REF!</definedName>
    <definedName name="COD_SINAPI" localSheetId="2">#REF!</definedName>
    <definedName name="COD_SINAPI" localSheetId="3">#REF!</definedName>
    <definedName name="COD_SINAPI" localSheetId="0">#REF!</definedName>
    <definedName name="COD_SINAPI">#REF!</definedName>
    <definedName name="jazida5" localSheetId="4">#REF!</definedName>
    <definedName name="jazida5" localSheetId="1">#REF!</definedName>
    <definedName name="jazida5" localSheetId="2">#REF!</definedName>
    <definedName name="jazida5" localSheetId="3">#REF!</definedName>
    <definedName name="jazida5" localSheetId="0">#REF!</definedName>
    <definedName name="jazida5">#REF!</definedName>
    <definedName name="jazida6" localSheetId="4">#REF!</definedName>
    <definedName name="jazida6" localSheetId="1">#REF!</definedName>
    <definedName name="jazida6" localSheetId="2">#REF!</definedName>
    <definedName name="jazida6" localSheetId="3">#REF!</definedName>
    <definedName name="jazida6" localSheetId="0">#REF!</definedName>
    <definedName name="jazida6">#REF!</definedName>
    <definedName name="ls" localSheetId="4">#REF!</definedName>
    <definedName name="ls" localSheetId="1">#REF!</definedName>
    <definedName name="ls" localSheetId="2">#REF!</definedName>
    <definedName name="ls" localSheetId="3">#REF!</definedName>
    <definedName name="ls" localSheetId="0">#REF!</definedName>
    <definedName name="ls">#REF!</definedName>
    <definedName name="lub" localSheetId="4">#REF!</definedName>
    <definedName name="lub" localSheetId="1">#REF!</definedName>
    <definedName name="lub" localSheetId="2">#REF!</definedName>
    <definedName name="lub" localSheetId="3">#REF!</definedName>
    <definedName name="lub" localSheetId="0">#REF!</definedName>
    <definedName name="lub">#REF!</definedName>
    <definedName name="meio" localSheetId="4">#REF!</definedName>
    <definedName name="meio" localSheetId="1">#REF!</definedName>
    <definedName name="meio" localSheetId="2">#REF!</definedName>
    <definedName name="meio" localSheetId="3">#REF!</definedName>
    <definedName name="meio" localSheetId="0">#REF!</definedName>
    <definedName name="meio">#REF!</definedName>
    <definedName name="od" localSheetId="4">#REF!</definedName>
    <definedName name="od" localSheetId="1">#REF!</definedName>
    <definedName name="od" localSheetId="2">#REF!</definedName>
    <definedName name="od" localSheetId="3">#REF!</definedName>
    <definedName name="od" localSheetId="0">#REF!</definedName>
    <definedName name="od">#REF!</definedName>
    <definedName name="of" localSheetId="4">#REF!</definedName>
    <definedName name="of" localSheetId="1">#REF!</definedName>
    <definedName name="of" localSheetId="2">#REF!</definedName>
    <definedName name="of" localSheetId="3">#REF!</definedName>
    <definedName name="of" localSheetId="0">#REF!</definedName>
    <definedName name="of">#REF!</definedName>
    <definedName name="pdm" localSheetId="4">#REF!</definedName>
    <definedName name="pdm" localSheetId="1">#REF!</definedName>
    <definedName name="pdm" localSheetId="2">#REF!</definedName>
    <definedName name="pdm" localSheetId="3">#REF!</definedName>
    <definedName name="pdm" localSheetId="0">#REF!</definedName>
    <definedName name="pdm">#REF!</definedName>
    <definedName name="pedra" localSheetId="4">#REF!</definedName>
    <definedName name="pedra" localSheetId="1">#REF!</definedName>
    <definedName name="pedra" localSheetId="2">#REF!</definedName>
    <definedName name="pedra" localSheetId="3">#REF!</definedName>
    <definedName name="pedra" localSheetId="0">#REF!</definedName>
    <definedName name="pedra">#REF!</definedName>
    <definedName name="port" localSheetId="4">#REF!</definedName>
    <definedName name="port" localSheetId="1">#REF!</definedName>
    <definedName name="port" localSheetId="2">#REF!</definedName>
    <definedName name="port" localSheetId="3">#REF!</definedName>
    <definedName name="port" localSheetId="0">#REF!</definedName>
    <definedName name="port">#REF!</definedName>
    <definedName name="PREF" localSheetId="4">#REF!</definedName>
    <definedName name="PREF" localSheetId="1">#REF!</definedName>
    <definedName name="PREF" localSheetId="2">#REF!</definedName>
    <definedName name="PREF" localSheetId="3">#REF!</definedName>
    <definedName name="PREF" localSheetId="0">#REF!</definedName>
    <definedName name="PREF">#REF!</definedName>
    <definedName name="ruas" localSheetId="4">#REF!</definedName>
    <definedName name="ruas" localSheetId="1">#REF!</definedName>
    <definedName name="ruas" localSheetId="2">#REF!</definedName>
    <definedName name="ruas" localSheetId="3">#REF!</definedName>
    <definedName name="ruas" localSheetId="0">#REF!</definedName>
    <definedName name="ruas">#REF!</definedName>
    <definedName name="s" localSheetId="4">#REF!</definedName>
    <definedName name="s" localSheetId="1">#REF!</definedName>
    <definedName name="s" localSheetId="2">#REF!</definedName>
    <definedName name="s" localSheetId="3">#REF!</definedName>
    <definedName name="s" localSheetId="0">#REF!</definedName>
    <definedName name="s">#REF!</definedName>
    <definedName name="se" localSheetId="4">#REF!</definedName>
    <definedName name="se" localSheetId="1">#REF!</definedName>
    <definedName name="se" localSheetId="2">#REF!</definedName>
    <definedName name="se" localSheetId="3">#REF!</definedName>
    <definedName name="se" localSheetId="0">#REF!</definedName>
    <definedName name="se">#REF!</definedName>
    <definedName name="sx" localSheetId="4">#REF!</definedName>
    <definedName name="sx" localSheetId="1">#REF!</definedName>
    <definedName name="sx" localSheetId="2">#REF!</definedName>
    <definedName name="sx" localSheetId="3">#REF!</definedName>
    <definedName name="sx" localSheetId="0">#REF!</definedName>
    <definedName name="sx">#REF!</definedName>
    <definedName name="tb100cm" localSheetId="4">#REF!</definedName>
    <definedName name="tb100cm" localSheetId="1">#REF!</definedName>
    <definedName name="tb100cm" localSheetId="2">#REF!</definedName>
    <definedName name="tb100cm" localSheetId="3">#REF!</definedName>
    <definedName name="tb100cm" localSheetId="0">#REF!</definedName>
    <definedName name="tb100cm">#REF!</definedName>
    <definedName name="_xlnm.Print_Titles" localSheetId="0">'Planilha - IBOTIRAMA'!$4:$10</definedName>
    <definedName name="total" localSheetId="4">#REF!</definedName>
    <definedName name="total" localSheetId="1">#REF!</definedName>
    <definedName name="total" localSheetId="2">#REF!</definedName>
    <definedName name="total" localSheetId="3">#REF!</definedName>
    <definedName name="total" localSheetId="0">#REF!</definedName>
    <definedName name="total">#REF!</definedName>
  </definedNames>
  <calcPr calcId="152511" iterateDelta="1E-4"/>
  <fileRecoveryPr repairLoad="1"/>
</workbook>
</file>

<file path=xl/calcChain.xml><?xml version="1.0" encoding="utf-8"?>
<calcChain xmlns="http://schemas.openxmlformats.org/spreadsheetml/2006/main">
  <c r="E97" i="70" l="1"/>
  <c r="E85" i="70"/>
  <c r="E38" i="70"/>
  <c r="G10" i="70" l="1"/>
  <c r="A7" i="70"/>
  <c r="A7" i="74"/>
  <c r="A5" i="92"/>
  <c r="A4" i="91"/>
  <c r="A5" i="90"/>
  <c r="G52" i="97" l="1"/>
  <c r="F52" i="97"/>
  <c r="E52" i="97"/>
  <c r="D52" i="97"/>
  <c r="G50" i="97"/>
  <c r="F50" i="97"/>
  <c r="E50" i="97"/>
  <c r="D50" i="97"/>
  <c r="G46" i="97"/>
  <c r="F46" i="97"/>
  <c r="E46" i="97"/>
  <c r="D46" i="97"/>
  <c r="G39" i="97"/>
  <c r="F39" i="97"/>
  <c r="E39" i="97"/>
  <c r="D39" i="97"/>
  <c r="G27" i="97"/>
  <c r="F27" i="97"/>
  <c r="E27" i="97"/>
  <c r="D27" i="97"/>
  <c r="D36" i="77"/>
  <c r="D29" i="77"/>
  <c r="I27" i="77"/>
  <c r="D26" i="77"/>
  <c r="D21" i="77"/>
  <c r="D17" i="77"/>
  <c r="H93" i="70"/>
  <c r="H92" i="70"/>
  <c r="H91" i="70"/>
  <c r="H90" i="70"/>
  <c r="H89" i="70"/>
  <c r="H81" i="70"/>
  <c r="H80" i="70"/>
  <c r="H79" i="70"/>
  <c r="H78" i="70"/>
  <c r="H77" i="70"/>
  <c r="H76" i="70"/>
  <c r="H75" i="70"/>
  <c r="H74" i="70"/>
  <c r="E70" i="70"/>
  <c r="H66" i="70"/>
  <c r="H65" i="70"/>
  <c r="H64" i="70"/>
  <c r="H63" i="70"/>
  <c r="H62" i="70"/>
  <c r="H61" i="70"/>
  <c r="H60" i="70"/>
  <c r="H59" i="70"/>
  <c r="H58" i="70"/>
  <c r="H57" i="70"/>
  <c r="E53" i="70"/>
  <c r="H49" i="70"/>
  <c r="H48" i="70"/>
  <c r="H47" i="70"/>
  <c r="H46" i="70"/>
  <c r="H45" i="70"/>
  <c r="H44" i="70"/>
  <c r="H43" i="70"/>
  <c r="H42" i="70"/>
  <c r="H34" i="70"/>
  <c r="H33" i="70"/>
  <c r="H32" i="70"/>
  <c r="H31" i="70"/>
  <c r="E27" i="70"/>
  <c r="H23" i="70"/>
  <c r="H22" i="70"/>
  <c r="H21" i="70"/>
  <c r="H20" i="70"/>
  <c r="H19" i="70"/>
  <c r="H18" i="70"/>
  <c r="H17" i="70"/>
  <c r="H16" i="70"/>
  <c r="G9" i="70"/>
  <c r="H50" i="74"/>
  <c r="H49" i="74"/>
  <c r="H48" i="74"/>
  <c r="H47" i="74"/>
  <c r="H46" i="74"/>
  <c r="H45" i="74"/>
  <c r="H39" i="74"/>
  <c r="H38" i="74"/>
  <c r="H37" i="74"/>
  <c r="H36" i="74"/>
  <c r="H35" i="74"/>
  <c r="H34" i="74"/>
  <c r="H33" i="74"/>
  <c r="H32" i="74"/>
  <c r="H31" i="74"/>
  <c r="H30" i="74"/>
  <c r="F24" i="74"/>
  <c r="H24" i="74" s="1"/>
  <c r="H23" i="74"/>
  <c r="H22" i="74"/>
  <c r="H15" i="74"/>
  <c r="H14" i="74"/>
  <c r="H10" i="74"/>
  <c r="H9" i="74"/>
  <c r="E52" i="74" s="1"/>
  <c r="F26" i="92"/>
  <c r="A26" i="92"/>
  <c r="H23" i="92"/>
  <c r="C16" i="92"/>
  <c r="E83" i="91"/>
  <c r="C83" i="91"/>
  <c r="B83" i="91"/>
  <c r="A83" i="91"/>
  <c r="C82" i="91"/>
  <c r="B82" i="91"/>
  <c r="A82" i="91"/>
  <c r="H81" i="91"/>
  <c r="C81" i="91"/>
  <c r="B81" i="91"/>
  <c r="A81" i="91"/>
  <c r="B80" i="91"/>
  <c r="A80" i="91"/>
  <c r="C78" i="91"/>
  <c r="B78" i="91"/>
  <c r="A78" i="91"/>
  <c r="B77" i="91"/>
  <c r="A77" i="91"/>
  <c r="C75" i="91"/>
  <c r="B75" i="91"/>
  <c r="A75" i="91"/>
  <c r="C74" i="91"/>
  <c r="B74" i="91"/>
  <c r="A74" i="91"/>
  <c r="E73" i="91"/>
  <c r="E74" i="91" s="1"/>
  <c r="F93" i="89" s="1"/>
  <c r="C73" i="91"/>
  <c r="B73" i="91"/>
  <c r="A73" i="91"/>
  <c r="E72" i="91"/>
  <c r="C72" i="91"/>
  <c r="B72" i="91"/>
  <c r="A72" i="91"/>
  <c r="C71" i="91"/>
  <c r="B71" i="91"/>
  <c r="A71" i="91"/>
  <c r="C70" i="91"/>
  <c r="B70" i="91"/>
  <c r="A70" i="91"/>
  <c r="C69" i="91"/>
  <c r="B69" i="91"/>
  <c r="A69" i="91"/>
  <c r="C68" i="91"/>
  <c r="B68" i="91"/>
  <c r="A68" i="91"/>
  <c r="E67" i="91"/>
  <c r="E71" i="91" s="1"/>
  <c r="F90" i="89" s="1"/>
  <c r="C67" i="91"/>
  <c r="B67" i="91"/>
  <c r="A67" i="91"/>
  <c r="H66" i="91"/>
  <c r="C66" i="91"/>
  <c r="B66" i="91"/>
  <c r="A66" i="91"/>
  <c r="H65" i="91"/>
  <c r="C65" i="91"/>
  <c r="B65" i="91"/>
  <c r="A65" i="91"/>
  <c r="H64" i="91"/>
  <c r="C64" i="91"/>
  <c r="B64" i="91"/>
  <c r="A64" i="91"/>
  <c r="H63" i="91"/>
  <c r="E63" i="91"/>
  <c r="C63" i="91"/>
  <c r="B63" i="91"/>
  <c r="A63" i="91"/>
  <c r="C62" i="91"/>
  <c r="B62" i="91"/>
  <c r="A62" i="91"/>
  <c r="E61" i="91"/>
  <c r="E62" i="91" s="1"/>
  <c r="F81" i="89" s="1"/>
  <c r="C61" i="91"/>
  <c r="B61" i="91"/>
  <c r="A61" i="91"/>
  <c r="J60" i="91"/>
  <c r="C60" i="91"/>
  <c r="B60" i="91"/>
  <c r="A60" i="91"/>
  <c r="B59" i="91"/>
  <c r="A59" i="91"/>
  <c r="E57" i="91"/>
  <c r="C57" i="91"/>
  <c r="B57" i="91"/>
  <c r="A57" i="91"/>
  <c r="E56" i="91"/>
  <c r="C56" i="91"/>
  <c r="B56" i="91"/>
  <c r="A56" i="91"/>
  <c r="E55" i="91"/>
  <c r="C55" i="91"/>
  <c r="B55" i="91"/>
  <c r="A55" i="91"/>
  <c r="C54" i="91"/>
  <c r="B54" i="91"/>
  <c r="A54" i="91"/>
  <c r="C53" i="91"/>
  <c r="B53" i="91"/>
  <c r="A53" i="91"/>
  <c r="B52" i="91"/>
  <c r="A52" i="91"/>
  <c r="E51" i="91"/>
  <c r="C51" i="91"/>
  <c r="B51" i="91"/>
  <c r="A51" i="91"/>
  <c r="E50" i="91"/>
  <c r="C50" i="91"/>
  <c r="B50" i="91"/>
  <c r="A50" i="91"/>
  <c r="B49" i="91"/>
  <c r="A49" i="91"/>
  <c r="C48" i="91"/>
  <c r="B48" i="91"/>
  <c r="A48" i="91"/>
  <c r="C47" i="91"/>
  <c r="B47" i="91"/>
  <c r="A47" i="91"/>
  <c r="E46" i="91"/>
  <c r="E48" i="91" s="1"/>
  <c r="F64" i="89" s="1"/>
  <c r="C46" i="91"/>
  <c r="B46" i="91"/>
  <c r="A46" i="91"/>
  <c r="B45" i="91"/>
  <c r="A45" i="91"/>
  <c r="C44" i="91"/>
  <c r="B44" i="91"/>
  <c r="A44" i="91"/>
  <c r="C43" i="91"/>
  <c r="B43" i="91"/>
  <c r="A43" i="91"/>
  <c r="E42" i="91"/>
  <c r="E43" i="91" s="1"/>
  <c r="C42" i="91"/>
  <c r="B42" i="91"/>
  <c r="A42" i="91"/>
  <c r="B41" i="91"/>
  <c r="A41" i="91"/>
  <c r="E40" i="91"/>
  <c r="C40" i="91"/>
  <c r="B40" i="91"/>
  <c r="A40" i="91"/>
  <c r="C39" i="91"/>
  <c r="B39" i="91"/>
  <c r="A39" i="91"/>
  <c r="P38" i="91"/>
  <c r="M38" i="91"/>
  <c r="E38" i="91" s="1"/>
  <c r="J38" i="91"/>
  <c r="C38" i="91"/>
  <c r="B38" i="91"/>
  <c r="A38" i="91"/>
  <c r="C37" i="91"/>
  <c r="B37" i="91"/>
  <c r="A37" i="91"/>
  <c r="C36" i="91"/>
  <c r="B36" i="91"/>
  <c r="A36" i="91"/>
  <c r="E35" i="91"/>
  <c r="C35" i="91"/>
  <c r="B35" i="91"/>
  <c r="A35" i="91"/>
  <c r="E34" i="91"/>
  <c r="F48" i="89" s="1"/>
  <c r="C34" i="91"/>
  <c r="B34" i="91"/>
  <c r="A34" i="91"/>
  <c r="B33" i="91"/>
  <c r="A33" i="91"/>
  <c r="B32" i="91"/>
  <c r="A32" i="91"/>
  <c r="C30" i="91"/>
  <c r="B30" i="91"/>
  <c r="A30" i="91"/>
  <c r="E29" i="91"/>
  <c r="C29" i="91"/>
  <c r="B29" i="91"/>
  <c r="A29" i="91"/>
  <c r="E28" i="91"/>
  <c r="C28" i="91"/>
  <c r="B28" i="91"/>
  <c r="A28" i="91"/>
  <c r="E27" i="91"/>
  <c r="C27" i="91"/>
  <c r="B27" i="91"/>
  <c r="A27" i="91"/>
  <c r="C26" i="91"/>
  <c r="B26" i="91"/>
  <c r="A26" i="91"/>
  <c r="B25" i="91"/>
  <c r="A25" i="91"/>
  <c r="K24" i="91"/>
  <c r="E24" i="91"/>
  <c r="C24" i="91"/>
  <c r="B24" i="91"/>
  <c r="A24" i="91"/>
  <c r="E23" i="91"/>
  <c r="C23" i="91"/>
  <c r="B23" i="91"/>
  <c r="A23" i="91"/>
  <c r="C22" i="91"/>
  <c r="B22" i="91"/>
  <c r="A22" i="91"/>
  <c r="C21" i="91"/>
  <c r="B21" i="91"/>
  <c r="A21" i="91"/>
  <c r="C20" i="91"/>
  <c r="B20" i="91"/>
  <c r="A20" i="91"/>
  <c r="H19" i="91"/>
  <c r="E21" i="91" s="1"/>
  <c r="F33" i="89" s="1"/>
  <c r="C19" i="91"/>
  <c r="B19" i="91"/>
  <c r="A19" i="91"/>
  <c r="B18" i="91"/>
  <c r="A18" i="91"/>
  <c r="B17" i="91"/>
  <c r="A17" i="91"/>
  <c r="E15" i="91"/>
  <c r="F27" i="89" s="1"/>
  <c r="C15" i="91"/>
  <c r="B15" i="91"/>
  <c r="A15" i="91"/>
  <c r="E14" i="91"/>
  <c r="C14" i="91"/>
  <c r="B14" i="91"/>
  <c r="A14" i="91"/>
  <c r="C13" i="91"/>
  <c r="B13" i="91"/>
  <c r="A13" i="91"/>
  <c r="C12" i="91"/>
  <c r="B12" i="91"/>
  <c r="A12" i="91"/>
  <c r="E11" i="91"/>
  <c r="C11" i="91"/>
  <c r="B11" i="91"/>
  <c r="A11" i="91"/>
  <c r="E10" i="91"/>
  <c r="E12" i="91" s="1"/>
  <c r="F24" i="89" s="1"/>
  <c r="C10" i="91"/>
  <c r="B10" i="91"/>
  <c r="A10" i="91"/>
  <c r="E9" i="91"/>
  <c r="C9" i="91"/>
  <c r="B9" i="91"/>
  <c r="A9" i="91"/>
  <c r="B8" i="91"/>
  <c r="A8" i="91"/>
  <c r="B37" i="90"/>
  <c r="A37" i="90"/>
  <c r="B35" i="90"/>
  <c r="A35" i="90"/>
  <c r="B33" i="90"/>
  <c r="A33" i="90"/>
  <c r="B31" i="90"/>
  <c r="A31" i="90"/>
  <c r="B29" i="90"/>
  <c r="A29" i="90"/>
  <c r="B27" i="90"/>
  <c r="A27" i="90"/>
  <c r="B25" i="90"/>
  <c r="A25" i="90"/>
  <c r="B23" i="90"/>
  <c r="A23" i="90"/>
  <c r="B21" i="90"/>
  <c r="A21" i="90"/>
  <c r="B19" i="90"/>
  <c r="A19" i="90"/>
  <c r="B17" i="90"/>
  <c r="A17" i="90"/>
  <c r="B15" i="90"/>
  <c r="A15" i="90"/>
  <c r="B13" i="90"/>
  <c r="A13" i="90"/>
  <c r="B11" i="90"/>
  <c r="A11" i="90"/>
  <c r="F102" i="89"/>
  <c r="K101" i="89"/>
  <c r="F101" i="89"/>
  <c r="F100" i="89"/>
  <c r="F97" i="89"/>
  <c r="M96" i="89"/>
  <c r="H94" i="89"/>
  <c r="F94" i="89"/>
  <c r="F92" i="89"/>
  <c r="F91" i="89"/>
  <c r="H90" i="89"/>
  <c r="F89" i="89"/>
  <c r="F88" i="89"/>
  <c r="F87" i="89"/>
  <c r="F85" i="89"/>
  <c r="H84" i="89"/>
  <c r="I84" i="89" s="1"/>
  <c r="J84" i="89" s="1"/>
  <c r="F84" i="89"/>
  <c r="F83" i="89"/>
  <c r="F82" i="89"/>
  <c r="F79" i="89"/>
  <c r="H75" i="89"/>
  <c r="I75" i="89" s="1"/>
  <c r="J75" i="89" s="1"/>
  <c r="F75" i="89"/>
  <c r="F74" i="89"/>
  <c r="F73" i="89"/>
  <c r="F72" i="89"/>
  <c r="H71" i="89"/>
  <c r="F71" i="89"/>
  <c r="I71" i="89" s="1"/>
  <c r="H68" i="89"/>
  <c r="F68" i="89"/>
  <c r="F67" i="89"/>
  <c r="H64" i="89"/>
  <c r="H57" i="89"/>
  <c r="F57" i="89"/>
  <c r="I57" i="89" s="1"/>
  <c r="J57" i="89" s="1"/>
  <c r="F54" i="89"/>
  <c r="H52" i="89"/>
  <c r="F49" i="89"/>
  <c r="H48" i="89"/>
  <c r="H43" i="89"/>
  <c r="I43" i="89" s="1"/>
  <c r="J43" i="89" s="1"/>
  <c r="F43" i="89"/>
  <c r="F42" i="89"/>
  <c r="F41" i="89"/>
  <c r="H40" i="89"/>
  <c r="F40" i="89"/>
  <c r="I40" i="89" s="1"/>
  <c r="F39" i="89"/>
  <c r="O37" i="89"/>
  <c r="F36" i="89"/>
  <c r="F35" i="89"/>
  <c r="H27" i="89"/>
  <c r="H26" i="89"/>
  <c r="F26" i="89"/>
  <c r="I26" i="89" s="1"/>
  <c r="J26" i="89" s="1"/>
  <c r="F25" i="89"/>
  <c r="H23" i="89"/>
  <c r="F23" i="89"/>
  <c r="F22" i="89"/>
  <c r="H21" i="89"/>
  <c r="F21" i="89"/>
  <c r="I21" i="89" s="1"/>
  <c r="J21" i="89" s="1"/>
  <c r="F18" i="89"/>
  <c r="F17" i="89"/>
  <c r="G7" i="89"/>
  <c r="D7" i="89"/>
  <c r="H97" i="89" s="1"/>
  <c r="H35" i="70" l="1"/>
  <c r="H82" i="70"/>
  <c r="G100" i="89" s="1"/>
  <c r="H100" i="89" s="1"/>
  <c r="I100" i="89" s="1"/>
  <c r="J100" i="89" s="1"/>
  <c r="H24" i="70"/>
  <c r="G35" i="89" s="1"/>
  <c r="H35" i="89" s="1"/>
  <c r="I35" i="89" s="1"/>
  <c r="J35" i="89" s="1"/>
  <c r="G83" i="70"/>
  <c r="H83" i="70" s="1"/>
  <c r="H67" i="70"/>
  <c r="H50" i="70"/>
  <c r="G36" i="89" s="1"/>
  <c r="H36" i="89" s="1"/>
  <c r="P39" i="89" s="1"/>
  <c r="H94" i="70"/>
  <c r="G36" i="70"/>
  <c r="H36" i="70" s="1"/>
  <c r="H37" i="70" s="1"/>
  <c r="G51" i="70"/>
  <c r="H51" i="70" s="1"/>
  <c r="G95" i="70"/>
  <c r="H95" i="70" s="1"/>
  <c r="G25" i="70"/>
  <c r="H25" i="70" s="1"/>
  <c r="G68" i="70"/>
  <c r="H68" i="70" s="1"/>
  <c r="H40" i="74"/>
  <c r="E41" i="74"/>
  <c r="H41" i="74" s="1"/>
  <c r="H42" i="74" s="1"/>
  <c r="H17" i="89" s="1"/>
  <c r="H51" i="74"/>
  <c r="H16" i="74"/>
  <c r="H17" i="74" s="1"/>
  <c r="H18" i="74" s="1"/>
  <c r="H19" i="74" s="1"/>
  <c r="H20" i="74" s="1"/>
  <c r="H12" i="89" s="1"/>
  <c r="E17" i="74"/>
  <c r="H25" i="74"/>
  <c r="H52" i="74"/>
  <c r="H53" i="74" s="1"/>
  <c r="H18" i="89" s="1"/>
  <c r="G15" i="89"/>
  <c r="G16" i="89" s="1"/>
  <c r="H16" i="89" s="1"/>
  <c r="I16" i="89" s="1"/>
  <c r="L16" i="89" s="1"/>
  <c r="E26" i="74"/>
  <c r="H26" i="74" s="1"/>
  <c r="H27" i="74" s="1"/>
  <c r="O39" i="89"/>
  <c r="I97" i="89"/>
  <c r="I72" i="89"/>
  <c r="J72" i="89" s="1"/>
  <c r="H31" i="89"/>
  <c r="H79" i="89"/>
  <c r="H32" i="89"/>
  <c r="H49" i="89"/>
  <c r="I49" i="89" s="1"/>
  <c r="J49" i="89" s="1"/>
  <c r="H58" i="89"/>
  <c r="H72" i="89"/>
  <c r="H80" i="89"/>
  <c r="H86" i="89"/>
  <c r="I91" i="89"/>
  <c r="J91" i="89" s="1"/>
  <c r="H85" i="89"/>
  <c r="I85" i="89" s="1"/>
  <c r="J85" i="89" s="1"/>
  <c r="H91" i="89"/>
  <c r="I48" i="89"/>
  <c r="H33" i="89"/>
  <c r="I33" i="89" s="1"/>
  <c r="J33" i="89" s="1"/>
  <c r="H59" i="89"/>
  <c r="H81" i="89"/>
  <c r="I81" i="89" s="1"/>
  <c r="J81" i="89" s="1"/>
  <c r="H92" i="89"/>
  <c r="I92" i="89" s="1"/>
  <c r="J92" i="89" s="1"/>
  <c r="H93" i="89"/>
  <c r="I79" i="89"/>
  <c r="J79" i="89" s="1"/>
  <c r="H13" i="89"/>
  <c r="I13" i="89" s="1"/>
  <c r="J13" i="89" s="1"/>
  <c r="H22" i="89"/>
  <c r="I22" i="89" s="1"/>
  <c r="H34" i="89"/>
  <c r="H39" i="89"/>
  <c r="I39" i="89" s="1"/>
  <c r="H50" i="89"/>
  <c r="H62" i="89"/>
  <c r="H87" i="89"/>
  <c r="I87" i="89" s="1"/>
  <c r="J87" i="89" s="1"/>
  <c r="I101" i="89"/>
  <c r="J101" i="89" s="1"/>
  <c r="I90" i="89"/>
  <c r="J90" i="89" s="1"/>
  <c r="I23" i="89"/>
  <c r="J23" i="89" s="1"/>
  <c r="H51" i="89"/>
  <c r="H63" i="89"/>
  <c r="H73" i="89"/>
  <c r="I73" i="89" s="1"/>
  <c r="J73" i="89" s="1"/>
  <c r="H82" i="89"/>
  <c r="I82" i="89" s="1"/>
  <c r="J82" i="89" s="1"/>
  <c r="I94" i="89"/>
  <c r="J94" i="89" s="1"/>
  <c r="H101" i="89"/>
  <c r="H14" i="89"/>
  <c r="I14" i="89" s="1"/>
  <c r="J14" i="89" s="1"/>
  <c r="H53" i="89"/>
  <c r="I64" i="89"/>
  <c r="J64" i="89" s="1"/>
  <c r="H88" i="89"/>
  <c r="I88" i="89" s="1"/>
  <c r="J88" i="89" s="1"/>
  <c r="H74" i="89"/>
  <c r="I74" i="89" s="1"/>
  <c r="J74" i="89" s="1"/>
  <c r="H24" i="89"/>
  <c r="I24" i="89" s="1"/>
  <c r="J24" i="89" s="1"/>
  <c r="H83" i="89"/>
  <c r="I83" i="89" s="1"/>
  <c r="J83" i="89" s="1"/>
  <c r="I27" i="89"/>
  <c r="J27" i="89" s="1"/>
  <c r="H67" i="89"/>
  <c r="I67" i="89" s="1"/>
  <c r="H102" i="89"/>
  <c r="I102" i="89" s="1"/>
  <c r="J102" i="89" s="1"/>
  <c r="H25" i="89"/>
  <c r="I25" i="89" s="1"/>
  <c r="J25" i="89" s="1"/>
  <c r="H54" i="89"/>
  <c r="I54" i="89" s="1"/>
  <c r="J54" i="89" s="1"/>
  <c r="I68" i="89"/>
  <c r="J68" i="89" s="1"/>
  <c r="I93" i="89"/>
  <c r="J93" i="89" s="1"/>
  <c r="J48" i="89"/>
  <c r="E36" i="91"/>
  <c r="F50" i="89" s="1"/>
  <c r="I50" i="89" s="1"/>
  <c r="J50" i="89" s="1"/>
  <c r="F52" i="89"/>
  <c r="I52" i="89" s="1"/>
  <c r="J52" i="89" s="1"/>
  <c r="E37" i="91"/>
  <c r="F51" i="89" s="1"/>
  <c r="I51" i="89" s="1"/>
  <c r="J51" i="89" s="1"/>
  <c r="E39" i="91"/>
  <c r="F53" i="89" s="1"/>
  <c r="I53" i="89" s="1"/>
  <c r="J53" i="89" s="1"/>
  <c r="J40" i="89"/>
  <c r="J71" i="89"/>
  <c r="F58" i="89"/>
  <c r="I58" i="89" s="1"/>
  <c r="J58" i="89" s="1"/>
  <c r="E44" i="91"/>
  <c r="F59" i="89" s="1"/>
  <c r="I59" i="89" s="1"/>
  <c r="J59" i="89" s="1"/>
  <c r="J60" i="89" s="1"/>
  <c r="C25" i="90" s="1"/>
  <c r="F80" i="89"/>
  <c r="I80" i="89" s="1"/>
  <c r="J80" i="89" s="1"/>
  <c r="F86" i="89"/>
  <c r="I86" i="89" s="1"/>
  <c r="J86" i="89" s="1"/>
  <c r="E19" i="91"/>
  <c r="E20" i="91"/>
  <c r="F32" i="89" s="1"/>
  <c r="I32" i="89" s="1"/>
  <c r="J32" i="89" s="1"/>
  <c r="E47" i="91"/>
  <c r="F63" i="89" s="1"/>
  <c r="I63" i="89" s="1"/>
  <c r="J63" i="89" s="1"/>
  <c r="F62" i="89"/>
  <c r="I62" i="89" s="1"/>
  <c r="H69" i="70" l="1"/>
  <c r="H70" i="70" s="1"/>
  <c r="G41" i="89"/>
  <c r="H41" i="89" s="1"/>
  <c r="I41" i="89" s="1"/>
  <c r="J41" i="89" s="1"/>
  <c r="H38" i="70"/>
  <c r="H96" i="70"/>
  <c r="H97" i="70" s="1"/>
  <c r="H84" i="70"/>
  <c r="H85" i="70" s="1"/>
  <c r="G42" i="89"/>
  <c r="H42" i="89" s="1"/>
  <c r="I42" i="89" s="1"/>
  <c r="J42" i="89" s="1"/>
  <c r="H26" i="70"/>
  <c r="H27" i="70" s="1"/>
  <c r="G89" i="89"/>
  <c r="H89" i="89" s="1"/>
  <c r="I89" i="89" s="1"/>
  <c r="J89" i="89" s="1"/>
  <c r="J95" i="89" s="1"/>
  <c r="C33" i="90" s="1"/>
  <c r="D33" i="90" s="1"/>
  <c r="H52" i="70"/>
  <c r="H53" i="70" s="1"/>
  <c r="Q39" i="89"/>
  <c r="I36" i="89"/>
  <c r="J36" i="89" s="1"/>
  <c r="H15" i="89"/>
  <c r="I15" i="89" s="1"/>
  <c r="J16" i="89"/>
  <c r="G17" i="89"/>
  <c r="I17" i="89"/>
  <c r="I18" i="89"/>
  <c r="G18" i="89"/>
  <c r="I12" i="89"/>
  <c r="I19" i="89" s="1"/>
  <c r="K10" i="89" s="1"/>
  <c r="G12" i="89"/>
  <c r="I69" i="89"/>
  <c r="J67" i="89"/>
  <c r="J69" i="89" s="1"/>
  <c r="C29" i="90" s="1"/>
  <c r="E29" i="90" s="1"/>
  <c r="J22" i="89"/>
  <c r="J28" i="89" s="1"/>
  <c r="I28" i="89"/>
  <c r="J39" i="89"/>
  <c r="I44" i="89"/>
  <c r="J76" i="89"/>
  <c r="C31" i="90" s="1"/>
  <c r="D32" i="90" s="1"/>
  <c r="I76" i="89"/>
  <c r="J97" i="89"/>
  <c r="J98" i="89" s="1"/>
  <c r="C35" i="90" s="1"/>
  <c r="I98" i="89"/>
  <c r="I103" i="89"/>
  <c r="J103" i="89"/>
  <c r="C37" i="90" s="1"/>
  <c r="L17" i="89"/>
  <c r="J17" i="89"/>
  <c r="L15" i="89"/>
  <c r="J15" i="89"/>
  <c r="C13" i="90"/>
  <c r="I95" i="89"/>
  <c r="F26" i="90"/>
  <c r="E25" i="90"/>
  <c r="E26" i="90" s="1"/>
  <c r="D25" i="90"/>
  <c r="F31" i="89"/>
  <c r="I31" i="89" s="1"/>
  <c r="E22" i="91"/>
  <c r="F34" i="89" s="1"/>
  <c r="I34" i="89" s="1"/>
  <c r="J34" i="89" s="1"/>
  <c r="I65" i="89"/>
  <c r="J62" i="89"/>
  <c r="J65" i="89" s="1"/>
  <c r="C27" i="90" s="1"/>
  <c r="J55" i="89"/>
  <c r="I60" i="89"/>
  <c r="I55" i="89"/>
  <c r="J44" i="89" l="1"/>
  <c r="C19" i="90" s="1"/>
  <c r="D19" i="90" s="1"/>
  <c r="L18" i="89"/>
  <c r="J18" i="89"/>
  <c r="E11" i="90"/>
  <c r="D11" i="90"/>
  <c r="N12" i="89"/>
  <c r="N19" i="89" s="1"/>
  <c r="N29" i="89" s="1"/>
  <c r="L12" i="89"/>
  <c r="L19" i="89" s="1"/>
  <c r="L29" i="89" s="1"/>
  <c r="J12" i="89"/>
  <c r="J19" i="89" s="1"/>
  <c r="C11" i="90" s="1"/>
  <c r="F11" i="90" s="1"/>
  <c r="G11" i="90" s="1"/>
  <c r="M12" i="89"/>
  <c r="M19" i="89" s="1"/>
  <c r="M29" i="89" s="1"/>
  <c r="D30" i="90"/>
  <c r="F30" i="90"/>
  <c r="F35" i="90"/>
  <c r="F36" i="90" s="1"/>
  <c r="E35" i="90"/>
  <c r="E36" i="90" s="1"/>
  <c r="D35" i="90"/>
  <c r="I77" i="89"/>
  <c r="E31" i="90"/>
  <c r="G31" i="90" s="1"/>
  <c r="F31" i="90"/>
  <c r="F32" i="90" s="1"/>
  <c r="E12" i="90"/>
  <c r="E33" i="90"/>
  <c r="E34" i="90" s="1"/>
  <c r="F33" i="90"/>
  <c r="F34" i="90" s="1"/>
  <c r="E37" i="90"/>
  <c r="E38" i="90" s="1"/>
  <c r="D37" i="90"/>
  <c r="F37" i="90"/>
  <c r="F38" i="90" s="1"/>
  <c r="D26" i="90"/>
  <c r="G25" i="90"/>
  <c r="C23" i="90"/>
  <c r="J77" i="89"/>
  <c r="C21" i="90" s="1"/>
  <c r="F14" i="90"/>
  <c r="E14" i="90"/>
  <c r="D13" i="90"/>
  <c r="E32" i="90"/>
  <c r="E27" i="90"/>
  <c r="E28" i="90" s="1"/>
  <c r="D27" i="90"/>
  <c r="F28" i="90"/>
  <c r="D34" i="90"/>
  <c r="J31" i="89"/>
  <c r="J37" i="89" s="1"/>
  <c r="I37" i="89"/>
  <c r="I45" i="89" s="1"/>
  <c r="I105" i="89" s="1"/>
  <c r="G29" i="90"/>
  <c r="E30" i="90"/>
  <c r="F19" i="90" l="1"/>
  <c r="F20" i="90" s="1"/>
  <c r="E19" i="90"/>
  <c r="E20" i="90" s="1"/>
  <c r="D20" i="90"/>
  <c r="K12" i="89"/>
  <c r="D12" i="90"/>
  <c r="F12" i="90"/>
  <c r="G33" i="90"/>
  <c r="D36" i="90"/>
  <c r="G35" i="90"/>
  <c r="G37" i="90"/>
  <c r="D38" i="90"/>
  <c r="D28" i="90"/>
  <c r="G27" i="90"/>
  <c r="D14" i="90"/>
  <c r="G13" i="90"/>
  <c r="C17" i="90"/>
  <c r="J45" i="89"/>
  <c r="F23" i="90"/>
  <c r="E23" i="90"/>
  <c r="D23" i="90"/>
  <c r="G19" i="90" l="1"/>
  <c r="G23" i="90"/>
  <c r="D24" i="90"/>
  <c r="D21" i="90"/>
  <c r="E24" i="90"/>
  <c r="E21" i="90"/>
  <c r="E22" i="90" s="1"/>
  <c r="F24" i="90"/>
  <c r="F21" i="90"/>
  <c r="F22" i="90" s="1"/>
  <c r="C15" i="90"/>
  <c r="C42" i="90" s="1"/>
  <c r="J105" i="89"/>
  <c r="J20" i="74" s="1"/>
  <c r="D17" i="90"/>
  <c r="F17" i="90"/>
  <c r="E17" i="90"/>
  <c r="G17" i="90" l="1"/>
  <c r="E18" i="90"/>
  <c r="E15" i="90"/>
  <c r="F18" i="90"/>
  <c r="F15" i="90"/>
  <c r="D18" i="90"/>
  <c r="D15" i="90"/>
  <c r="D22" i="90"/>
  <c r="G21" i="90"/>
  <c r="D42" i="90" l="1"/>
  <c r="D16" i="90"/>
  <c r="G15" i="90"/>
  <c r="F16" i="90"/>
  <c r="F42" i="90"/>
  <c r="F44" i="90" s="1"/>
  <c r="E16" i="90"/>
  <c r="E42" i="90"/>
  <c r="E44" i="90" s="1"/>
  <c r="D44" i="90" l="1"/>
  <c r="D45" i="90"/>
  <c r="E45" i="90" s="1"/>
  <c r="F45" i="90" s="1"/>
  <c r="G42" i="90"/>
  <c r="D46" i="90" l="1"/>
  <c r="E46" i="90" s="1"/>
  <c r="F46" i="90" s="1"/>
  <c r="G44" i="90"/>
</calcChain>
</file>

<file path=xl/sharedStrings.xml><?xml version="1.0" encoding="utf-8"?>
<sst xmlns="http://schemas.openxmlformats.org/spreadsheetml/2006/main" count="1006" uniqueCount="524">
  <si>
    <t xml:space="preserve">                                                    MINISTÉRIO DO DESENVOLVIMENTO REGIONAL</t>
  </si>
  <si>
    <t xml:space="preserve">        MINISTÉRIO DO DESENVOLVIMENTO REGIONAL</t>
  </si>
  <si>
    <t>% DE RESERVA DE CONTINGÊNCIA (TAXA DE RISCO DA MATRIZ)</t>
  </si>
  <si>
    <t xml:space="preserve">        COMPANHIA DE DESENVOLVIMENTO DOS VALES DO SÃO FRANCISCO E DO PARNAÍBA</t>
  </si>
  <si>
    <t xml:space="preserve">        2.ª GRD da 2ª SUPERINTENDÊNCIA REGIONAL- Bom Jesus da Lapa/Ba.</t>
  </si>
  <si>
    <t>CONSTRUÇÃO DE 04 (QUATRO) PRAÇAS, SENDO: 01 (UMA) NO MUNICÍPIO DE BAIANÓPOLIS, 01 (UMA) NO MUNICÍPIO DE IBOTIRAMA, 01 (UMA) NO MUNICÍPIO DE ILHÉUS E 01 (UMA) NO MUNICÍPIO DE LIVRAMENTO DE NOSSA SENHORA, E REQUALIFICAÇÃO DE 01 (UMA) PRAÇA NO MUNICÍPIO DE PORTO SEGURO, TODAS NO ESTADO DA BAHIA, ÁREA DE ABRANGÊNCIA DA 2ª SUPERINTENDÊNCIA REGIONAL DA CODEVASF</t>
  </si>
  <si>
    <t xml:space="preserve">BDI SERVIÇOS:                                               </t>
  </si>
  <si>
    <t xml:space="preserve">ENCARGOS SOCIAIS: </t>
  </si>
  <si>
    <t>BASE:</t>
  </si>
  <si>
    <t>SINAPI: OUTUBRO/2021; ORSE: SETEMBRO/2021; SICRO: JULHO/2021</t>
  </si>
  <si>
    <t>ITEM</t>
  </si>
  <si>
    <t>REFERÊNCIA</t>
  </si>
  <si>
    <t>CÓDIGO</t>
  </si>
  <si>
    <t>DISCRIMINAÇÃO DOS SERVIÇOS</t>
  </si>
  <si>
    <t>UND</t>
  </si>
  <si>
    <t>QUANTITATIVO</t>
  </si>
  <si>
    <t>PREÇO UNITÁRIO (SEM BDI) (R$)</t>
  </si>
  <si>
    <t>PREÇO UNITÁRIO (COM BDI) (R$)</t>
  </si>
  <si>
    <t>TOTAL</t>
  </si>
  <si>
    <t>TOTAL C/ BDI E COM TAXA RISCO DA MATRIZ (R$)</t>
  </si>
  <si>
    <t>SERVIÇOS PRELIMINARES</t>
  </si>
  <si>
    <t>1.1</t>
  </si>
  <si>
    <t>CODEVASF</t>
  </si>
  <si>
    <t>Administração local e Manutenção do Canteiro.</t>
  </si>
  <si>
    <t>global</t>
  </si>
  <si>
    <t>1.2</t>
  </si>
  <si>
    <t>SINAPI</t>
  </si>
  <si>
    <t>Locação de container - escritório com banheiro</t>
  </si>
  <si>
    <t>mês</t>
  </si>
  <si>
    <t>1.3</t>
  </si>
  <si>
    <t>ORSE</t>
  </si>
  <si>
    <t>Aluguel de container - almoxarifado sem banheiro - 6,00 x 2,40m</t>
  </si>
  <si>
    <t>1.4</t>
  </si>
  <si>
    <t>Mobilização</t>
  </si>
  <si>
    <t>und</t>
  </si>
  <si>
    <t>1.5</t>
  </si>
  <si>
    <t>Desmobilização</t>
  </si>
  <si>
    <t>1.6</t>
  </si>
  <si>
    <t>CPU-03</t>
  </si>
  <si>
    <t>Placa de obra em chapa de aço galvanizada (3,60 X 1,80m).</t>
  </si>
  <si>
    <t>m²</t>
  </si>
  <si>
    <t>1.7</t>
  </si>
  <si>
    <t>CPU-04</t>
  </si>
  <si>
    <t>Serviços topográficos</t>
  </si>
  <si>
    <t>TOTAL DO ITEM 1</t>
  </si>
  <si>
    <t>2.1</t>
  </si>
  <si>
    <t>M2</t>
  </si>
  <si>
    <t>2.2</t>
  </si>
  <si>
    <t>TOTAL DO ITEM 2</t>
  </si>
  <si>
    <t>3.1</t>
  </si>
  <si>
    <t>3.1.1</t>
  </si>
  <si>
    <t>Escavação manual de vala com profundidade menor ou igual a 1,30 m c 02/2021</t>
  </si>
  <si>
    <t>m³</t>
  </si>
  <si>
    <t>3.1.2</t>
  </si>
  <si>
    <t>m</t>
  </si>
  <si>
    <t>3.1.3</t>
  </si>
  <si>
    <t>3.1.4</t>
  </si>
  <si>
    <t>Reaterro manual apiloado com soquete</t>
  </si>
  <si>
    <t>3.1.5</t>
  </si>
  <si>
    <t>3.1.6</t>
  </si>
  <si>
    <t>SICRO</t>
  </si>
  <si>
    <t>TOTAL DO SUB-ITEM 3.1</t>
  </si>
  <si>
    <t>3.2</t>
  </si>
  <si>
    <t>3.2.1</t>
  </si>
  <si>
    <t>3.2.2</t>
  </si>
  <si>
    <t>Lastro de concreto magro, aplicado em pisos, lajes sobre solo ou radier, espessura de 3 cm.</t>
  </si>
  <si>
    <t>3.2.3</t>
  </si>
  <si>
    <t>3.2.4</t>
  </si>
  <si>
    <t>3.2.5</t>
  </si>
  <si>
    <t>CPU-06</t>
  </si>
  <si>
    <t>TOTAL DO SUB-ITEM 3.2</t>
  </si>
  <si>
    <t>TOTAL DO ITEM 3</t>
  </si>
  <si>
    <t>4.1</t>
  </si>
  <si>
    <t>4.2</t>
  </si>
  <si>
    <t>un</t>
  </si>
  <si>
    <t>TOTAL DO ITEM 4</t>
  </si>
  <si>
    <t>5.1</t>
  </si>
  <si>
    <t>M³</t>
  </si>
  <si>
    <t>5.2</t>
  </si>
  <si>
    <t>5.3</t>
  </si>
  <si>
    <t>5.4</t>
  </si>
  <si>
    <t>5.5</t>
  </si>
  <si>
    <t>disjuntor tripolar tipo din, corrente nominal de 10a - fornecimento e instalação</t>
  </si>
  <si>
    <t>5.6</t>
  </si>
  <si>
    <t>eletroduto pvc rígido roscável diâmetro 1 1/4"</t>
  </si>
  <si>
    <t>5.7</t>
  </si>
  <si>
    <t>eletroduto pvc rígido roscável diâmetro 3/4"</t>
  </si>
  <si>
    <t>5.8</t>
  </si>
  <si>
    <t>Caixa de passagem em alvenaria de tijolos maciços esp. = 0,12 m, dim. Int. = 0,4 x 0,4 x 0,4 m</t>
  </si>
  <si>
    <t xml:space="preserve"> UND </t>
  </si>
  <si>
    <t>5.9</t>
  </si>
  <si>
    <t>5.10</t>
  </si>
  <si>
    <t>5.11</t>
  </si>
  <si>
    <t>cabo de cobre flexível isolado, 2,5 mm², anti-chama 450/750 v, para circuitos terminais - fornecimento e instalação. af_12/2015</t>
  </si>
  <si>
    <t>M</t>
  </si>
  <si>
    <t>5.12</t>
  </si>
  <si>
    <t>cabo de cobre flexível isolado, 10 mm², anti-chama 450/750 v, para circuitos terminais - fornecimento e instalação. af_12/2015</t>
  </si>
  <si>
    <t>5.13</t>
  </si>
  <si>
    <t>PÇ</t>
  </si>
  <si>
    <t>5.14</t>
  </si>
  <si>
    <t>5.15</t>
  </si>
  <si>
    <t>5.16</t>
  </si>
  <si>
    <t>quadro de medição de energia c padrão "coelba"</t>
  </si>
  <si>
    <t>TOTAL DO ITEM 5</t>
  </si>
  <si>
    <t>DIVERSOS</t>
  </si>
  <si>
    <t>6.1</t>
  </si>
  <si>
    <t>CPU-16</t>
  </si>
  <si>
    <t>Banco com pés em concreto pré-moldado e assento e encosto de madeira</t>
  </si>
  <si>
    <t>Grama esmeralda em mudas, fornecimento e plantio</t>
  </si>
  <si>
    <t>Limpeza de ruas (varrição e remoção de entulhos)</t>
  </si>
  <si>
    <t>TOTAL DO ITEM 6</t>
  </si>
  <si>
    <t>TOTAL GERAL (R$)</t>
  </si>
  <si>
    <t>TERRAPLENAGEM</t>
  </si>
  <si>
    <t>PAVIMENTAÇÃO E GUIAS</t>
  </si>
  <si>
    <t>Assentamento de guia (meio-fio) em trecho curvo, confeccionada em concreto pré-fabricado, dimensões 80x08x08x25 cm (comprimento x base inferior x base superior x altura), para urbanização.</t>
  </si>
  <si>
    <t>Execução de passeio em piso intertravado, com bloco retangular colorido (vermelho) de 20 x 10  cm, espessura de 6 cm.</t>
  </si>
  <si>
    <t>CPU-11</t>
  </si>
  <si>
    <t>Execução de passeio em piso intertravado, com bloco retangular cor natural de 20 x 10  cm, espessura de 6 cm.</t>
  </si>
  <si>
    <t>Piso tátil direcional e/ou de alerta, de concreto, colorido, para deficientes visuais, dimensões 25 x 25 cm, aplicado com argamassa industrializada ac-II, rejuntado, exclusive regularização de base</t>
  </si>
  <si>
    <t>Execução de passeio (calçada) ou piso de concreto moldado in loco, feito em obra, acabamento convencional, não armado, 6 cm de espessura</t>
  </si>
  <si>
    <t>CPU-10</t>
  </si>
  <si>
    <t>Execução de rampa de acesso à calçada</t>
  </si>
  <si>
    <t>INSTALAÇÕES ELÉTRICAS (Praça)</t>
  </si>
  <si>
    <t>Entrada de energia elétrica trifásica, com poste de concreto duplo T, quadro, caixa de inspeção e disjuntor.</t>
  </si>
  <si>
    <t>4.3</t>
  </si>
  <si>
    <t>Colchão de areia, espessura de 5 cm</t>
  </si>
  <si>
    <t>4.4</t>
  </si>
  <si>
    <t>reaterro manual apiloado com soquete. af_10/2017</t>
  </si>
  <si>
    <t>4.5</t>
  </si>
  <si>
    <t>Tampa de concreto para caixas de passagem 0,4 x 0,4 x 0,07 m</t>
  </si>
  <si>
    <t>JARDINAGEM</t>
  </si>
  <si>
    <t>Conjunto com 3 lixeiras em fibra de vidro, com capacidade de 20 l cada, com tampa vai e vem</t>
  </si>
  <si>
    <t>Espalhamento de material em bota-fora</t>
  </si>
  <si>
    <t>2.3</t>
  </si>
  <si>
    <t>CPU-18</t>
  </si>
  <si>
    <t>CPU-14</t>
  </si>
  <si>
    <t>Luminarias decorativas, poste com 9,0 m, com quatro luminárias de led 100 W, fornecimento e instalação</t>
  </si>
  <si>
    <t>7.1</t>
  </si>
  <si>
    <t>7.2</t>
  </si>
  <si>
    <t>7.3</t>
  </si>
  <si>
    <t>TOTAL DO ITEM 7</t>
  </si>
  <si>
    <t>CPU-01-D</t>
  </si>
  <si>
    <t>CPU-02-D</t>
  </si>
  <si>
    <t>Limpeza mecanizada de camada vegetal, vegetação e pequenas árvores (diâmetro de tronco menor que 0,20 m), com trator de esteiras.</t>
  </si>
  <si>
    <t>Execução e compactação de aterro com solo predominantemente argiloso - exclusive solo, escavação, carga e transporte.</t>
  </si>
  <si>
    <t>M3</t>
  </si>
  <si>
    <t>Transporte com caminhão basculante de 10 m³, em via urbana em revestimento primário (unidade: m3xkm).</t>
  </si>
  <si>
    <t>M3XKM</t>
  </si>
  <si>
    <t>2.4</t>
  </si>
  <si>
    <t>Carga, manobra e descarga de solos e materiais granulares em caminhão basculante 10 m³ - carga com pá carregadeira (caçamba de 1,7 a 2,8 m³ / 128 hp) e descarga livre (unidade: m3).</t>
  </si>
  <si>
    <t>2.5</t>
  </si>
  <si>
    <t>Demolição de lajes, de forma mecanizada com martelete, sem reaproveitamento.</t>
  </si>
  <si>
    <t>2.6</t>
  </si>
  <si>
    <t>2.7</t>
  </si>
  <si>
    <t>INTERTRAVADO</t>
  </si>
  <si>
    <t>ACESSIBILIDADE</t>
  </si>
  <si>
    <t>Execução de rampa de concreto para acesso aos diferentes níveis da praça , fck = 20 mPa, esp. = 10 cm</t>
  </si>
  <si>
    <t>Corrimão simples, diâmetro externo = 1 1/2", em aço galvanizado.</t>
  </si>
  <si>
    <t>PALCO</t>
  </si>
  <si>
    <t>FUNDAÇÃO</t>
  </si>
  <si>
    <t>4.1.1</t>
  </si>
  <si>
    <t>Escavação mecanizada com retroescavadeira</t>
  </si>
  <si>
    <t>4.1.2</t>
  </si>
  <si>
    <t>Forma plana para estruturas, em compensado resinado de 10 mm, 2 usos, inclusive escoramento</t>
  </si>
  <si>
    <t>M²</t>
  </si>
  <si>
    <t>4.1.3</t>
  </si>
  <si>
    <t>Lastro de concreto magro, aplicado em pisos, lajes sobre solo ou radier, espessura de 5 cm.</t>
  </si>
  <si>
    <t>4.1.4</t>
  </si>
  <si>
    <t>Armação de pilar ou viga de uma estrutura convencional de concreto armado</t>
  </si>
  <si>
    <t>KG</t>
  </si>
  <si>
    <t>4.1.5</t>
  </si>
  <si>
    <t>Concreto FCK = 25 mPa, traço 1:2,3:2,7 (em massa seca de cimento / areia média / brita 1) - preparo mecâncico com betoneira 400 l</t>
  </si>
  <si>
    <t>4.1.6</t>
  </si>
  <si>
    <t>4.1.7</t>
  </si>
  <si>
    <t>Impermeabilização de superfície com emulsão asfáltica, duas demãos (baldrame)</t>
  </si>
  <si>
    <t>TOTAL DO SUB-ITEM 4.1</t>
  </si>
  <si>
    <t>ALVENARIA E REVESTIMENTOS</t>
  </si>
  <si>
    <t>4.2.1</t>
  </si>
  <si>
    <t>Alvenaria estrutural de blocos cerâmicos 14x19x39, (espessura de 14 cm ), para paredes com área líquida maior ou igual que 6m², sem vãos, utilizando palheta e argamassa de assentamento com preparo manual.</t>
  </si>
  <si>
    <t>4.2.2</t>
  </si>
  <si>
    <t>Chapisco aplicado em alvenarias e estruturas de concreto</t>
  </si>
  <si>
    <t>4.2.3</t>
  </si>
  <si>
    <t>Massa única para recebimento de pintura</t>
  </si>
  <si>
    <t>TOTAL DO ITEM 4.2</t>
  </si>
  <si>
    <t>ALTEAMENTO DO PALCO</t>
  </si>
  <si>
    <t>4.3.1</t>
  </si>
  <si>
    <t>Execução e compactação de aterro com solo predominantemente argiloso - exclusive solo, escavação, carga e transporte. af_11/2019</t>
  </si>
  <si>
    <t>4.3.2</t>
  </si>
  <si>
    <t>4.3.3</t>
  </si>
  <si>
    <t>TOTAL DO ITEM 4.3</t>
  </si>
  <si>
    <t>PISO</t>
  </si>
  <si>
    <t>4.4.1</t>
  </si>
  <si>
    <t>4.4.2</t>
  </si>
  <si>
    <t>Piso cimentado liso traço 1:5, e = 2,5 cm</t>
  </si>
  <si>
    <t>COBERTURA</t>
  </si>
  <si>
    <t>4.5.1</t>
  </si>
  <si>
    <t>Projeto estrutural de aço/alumínio/madeira até 500m². Observação: Área de projeção.</t>
  </si>
  <si>
    <t>4.5.2</t>
  </si>
  <si>
    <t>Estrutura Metálica p/ Cobertura c/Vigas-Treliça Pratt UDC75 e terças em UDC 127, 2 águas, sem lanternin, vãos 6,0 a 10,0m, pintado 1 d oxido ferro + 2 d esmalte epóxi branco, exceto forn. Telhas - Executada</t>
  </si>
  <si>
    <t>4.5.3</t>
  </si>
  <si>
    <t>Coluna metálica, em perfis UDC127x50x5,13, diagonais duplas, diversos usos ou composição de pórticos vãos 10,01m a 20,0m,, largura 0,60m, PDmax. 7,00 , pintura 01 demão epoxi fundo óxido ferro + 02 demãos esmalte epoxi branco</t>
  </si>
  <si>
    <t>4.5.4</t>
  </si>
  <si>
    <t>Telhamento com telha em aço galvalume, simples, ondulada, não pintada, OND17 - 0,65mm, Kingspan- Isoeste ou similar</t>
  </si>
  <si>
    <t>m2</t>
  </si>
  <si>
    <t>4.5.5</t>
  </si>
  <si>
    <t>Fechamento lateral com telha em aço galvalume, simples, trapezoidal, não pintada, TP40, e=0,65mm, Isoeste ou similar</t>
  </si>
  <si>
    <t>TOTAL DO ITEM 4.4</t>
  </si>
  <si>
    <t>Disjuntor tripolar tipo din, corrente nominal de 25a - fornecimento e instalação. af_10/2020</t>
  </si>
  <si>
    <t>Haste de terra em cobre tipo copperweld ø 5/8"x3,00m</t>
  </si>
  <si>
    <t>Grampo de aterramento split-bolt, para cabo de # 10,0mm²</t>
  </si>
  <si>
    <t>valor a chegar R$ 300.000,00</t>
  </si>
  <si>
    <t xml:space="preserve">                                          COMPANHIA DE DESENVOLVIMENTO DOS VALES DO SÃO FRANCISCO E DO PARNAÍBA</t>
  </si>
  <si>
    <t xml:space="preserve">                                                   2.ª GRD da 2ª SUPERINTENDÊNCIA REGIONAL- Bom Jesus da Lapa/Ba.</t>
  </si>
  <si>
    <t xml:space="preserve">ITEM </t>
  </si>
  <si>
    <t>DISCRIMINAÇÃO</t>
  </si>
  <si>
    <t>VALOR (R$)</t>
  </si>
  <si>
    <t>1º  Mês</t>
  </si>
  <si>
    <t>2º  Mês</t>
  </si>
  <si>
    <t>3º  Mês</t>
  </si>
  <si>
    <t>TOTAIS</t>
  </si>
  <si>
    <t>% DO ITEM</t>
  </si>
  <si>
    <t>TOTAL ACUMULADO</t>
  </si>
  <si>
    <t>% ACUMULADA</t>
  </si>
  <si>
    <t>MINISTÉRIO DO DESENVOLVIMENTO REGIONAL</t>
  </si>
  <si>
    <t>2.ª GRD da 2ª SUPERINTENDÊNCIA REGIONAL- Bom Jesus da Lapa/Ba.</t>
  </si>
  <si>
    <t xml:space="preserve">                          COMPANHIA DE DESENVOLVIMENTO DOS VALES DO SÃO FRANCISCO E DO PARNAÍBA</t>
  </si>
  <si>
    <t xml:space="preserve">largura da vala </t>
  </si>
  <si>
    <t>km</t>
  </si>
  <si>
    <t>conforme projeto</t>
  </si>
  <si>
    <t>cabo de cobre 2,5</t>
  </si>
  <si>
    <t>cabo de cobre 10</t>
  </si>
  <si>
    <t xml:space="preserve">altura da vala </t>
  </si>
  <si>
    <t xml:space="preserve">reaterro </t>
  </si>
  <si>
    <t xml:space="preserve">área eletroduto </t>
  </si>
  <si>
    <t xml:space="preserve">escavação </t>
  </si>
  <si>
    <t>conforme projeto (65 (comprimento) x 4 (3 fases e 1 neutro))</t>
  </si>
  <si>
    <t>(*) - Valores calculados diretamente no projeto.</t>
  </si>
  <si>
    <t>área de praça</t>
  </si>
  <si>
    <t>esp. aterro</t>
  </si>
  <si>
    <t>empolamento</t>
  </si>
  <si>
    <t>área da praça =</t>
  </si>
  <si>
    <t>distância de jazida</t>
  </si>
  <si>
    <t>área da praça x espessura média de aterro x empolamento</t>
  </si>
  <si>
    <t>distância bota-fora</t>
  </si>
  <si>
    <t>volume de aterro x DMT jazida</t>
  </si>
  <si>
    <t>volume de aterro</t>
  </si>
  <si>
    <t>área de calçada (conforme projeto) x 0,06 (espessura)</t>
  </si>
  <si>
    <t>área de calçada</t>
  </si>
  <si>
    <t>volume de entulho x DMT bota-fora</t>
  </si>
  <si>
    <t>volume de entulho</t>
  </si>
  <si>
    <t>222,40 (comp. Do meio-fio) x 0,15 (largura da valeta) x 0,15 (altura da valeta)</t>
  </si>
  <si>
    <t>comp. meio fio</t>
  </si>
  <si>
    <t>222,40 x 0,15</t>
  </si>
  <si>
    <t>222,40 (conforme projeto)</t>
  </si>
  <si>
    <t>3,39 m³ (volume da escavação) - (222,4 x 0,12 (altura da valeta - 3 cm do lastro) x 0,07 (largura da valeta - largura do meio-fio)</t>
  </si>
  <si>
    <t>(conforme projeto)</t>
  </si>
  <si>
    <t>desconto árvores =</t>
  </si>
  <si>
    <t>1,77x3=</t>
  </si>
  <si>
    <t>(conforme projeto (amarelo + vermelho)</t>
  </si>
  <si>
    <t>181,86 m² (área da calçada - área da rampa - piso tátil) x 0,06 (espessura da calçada)</t>
  </si>
  <si>
    <t>0,2 m³ de concreto (conforme projeto) x 5 (quantidades de rampa)</t>
  </si>
  <si>
    <t>9m² (conforme projeto)</t>
  </si>
  <si>
    <t>9,70m (conforme projeto)</t>
  </si>
  <si>
    <t>42,40 (comprimento eixo) x 0,50 (largura vala) x 0,50 (profundidade)</t>
  </si>
  <si>
    <t>Sapatas</t>
  </si>
  <si>
    <t>comp</t>
  </si>
  <si>
    <t>Baldrame</t>
  </si>
  <si>
    <t>Viga sup</t>
  </si>
  <si>
    <t>sapatas + baldrame + viga palco</t>
  </si>
  <si>
    <t>larg</t>
  </si>
  <si>
    <t>espessura 5cm</t>
  </si>
  <si>
    <t>alt</t>
  </si>
  <si>
    <t>volume de concreto x 80kg/m3 (taxa de aço)</t>
  </si>
  <si>
    <t>qtde</t>
  </si>
  <si>
    <t>Volume</t>
  </si>
  <si>
    <t>escavação - lastro - concreto</t>
  </si>
  <si>
    <t>42,40 (comprimento eixo) x 0,30 (altura) x 2 lados</t>
  </si>
  <si>
    <t>área do palco</t>
  </si>
  <si>
    <t>altura do palco x perimetro do palco</t>
  </si>
  <si>
    <t>perimetro do palco</t>
  </si>
  <si>
    <t>lado externo de alvenaria</t>
  </si>
  <si>
    <t>altura do palco</t>
  </si>
  <si>
    <t>105,87 (área do palco) x 0,50 ( altura de aterro)</t>
  </si>
  <si>
    <t>52,94m³ x 10km (DMT jazida)</t>
  </si>
  <si>
    <t>área de piso do palco</t>
  </si>
  <si>
    <t>área de projeção</t>
  </si>
  <si>
    <t>5,00m (altura de coluna) x 6 (qtde)</t>
  </si>
  <si>
    <t>45,92 (perímetro com beiral) x 1,20m (altura lateral)</t>
  </si>
  <si>
    <t xml:space="preserve">(65 (comp. Fio 10 mm²) + 405 (comp. Fio 2,5 mm²)) x 0,3 (largura da vala) x 0,3 (altura da vala) </t>
  </si>
  <si>
    <t>8,30 (volume escavado) - (0,00028 (área do eletroduto) x (5+87,23) - (1,38 (volume de areia))</t>
  </si>
  <si>
    <t>conforme projeto (405 (comprimento total) x 2 (fase e neutro) + 100 (Postes e luminárias)</t>
  </si>
  <si>
    <t>COMPANHIA DE DESENVOLVIMENTO DOS VALES DO SÃO FRANCISCO E DO PARNAÍBA</t>
  </si>
  <si>
    <t>MEMÓRIA DE CÁLCULO DOS MOMENTOS DE TRANSPORTE PARA MOBILIZAÇÃO E DESMOBILIZAÇÃO</t>
  </si>
  <si>
    <t>Cidade pólo</t>
  </si>
  <si>
    <t>Cidade beneficiada</t>
  </si>
  <si>
    <t>Dist. da Origem ao destino:</t>
  </si>
  <si>
    <t xml:space="preserve"> km</t>
  </si>
  <si>
    <t>Distância Total:</t>
  </si>
  <si>
    <t>Peso das máquinas:</t>
  </si>
  <si>
    <t>Grade de 24 discos rebocável de 24"</t>
  </si>
  <si>
    <t xml:space="preserve"> ton</t>
  </si>
  <si>
    <t xml:space="preserve">Motoniveladora </t>
  </si>
  <si>
    <t>Retroescavadeira</t>
  </si>
  <si>
    <t>Rolo compactador liso vibratório 10,4 t</t>
  </si>
  <si>
    <t>Total</t>
  </si>
  <si>
    <t xml:space="preserve"> t x km</t>
  </si>
  <si>
    <t>Bom Jesus da Lapa/Ba</t>
  </si>
  <si>
    <t>Ibotirama/Ba</t>
  </si>
  <si>
    <t>COFINS</t>
  </si>
  <si>
    <t xml:space="preserve">                 COMPANHIA DE DESENVOLVIMENTO DOS VALES DO SÃO FRANCISCO E DO PARNAÍBA</t>
  </si>
  <si>
    <t xml:space="preserve">                 2.ª GRD da 2ª SUPERINTENDÊNCIA REGIONAL- Bom Jesus da Lapa/Ba.</t>
  </si>
  <si>
    <t>BDI (%):</t>
  </si>
  <si>
    <t>ENCARGOS SOCIAIS (%):</t>
  </si>
  <si>
    <t>REF.</t>
  </si>
  <si>
    <t>PRECO UNITÁRIO</t>
  </si>
  <si>
    <t>TOTAL (R$)</t>
  </si>
  <si>
    <t>COMPOSICAO</t>
  </si>
  <si>
    <t>ENCARREGADO GERAL COM ENCARGOS COMPLEMENTARES</t>
  </si>
  <si>
    <t>ENGENHEIRO CIVIL DE OBRA JUNIOR COM ENCARGOS COMPLEMENTARES</t>
  </si>
  <si>
    <t>H</t>
  </si>
  <si>
    <t>Sub total:</t>
  </si>
  <si>
    <t>Total para 3 meses:</t>
  </si>
  <si>
    <t>PREÇO UNITÁRIO TOTAL:</t>
  </si>
  <si>
    <t>CPU-01.D</t>
  </si>
  <si>
    <t>ADMINISTRAÇÃO LOCAL (IBOTIRAMA)</t>
  </si>
  <si>
    <t>E9667</t>
  </si>
  <si>
    <t>Caminhão basculante com capacidade de 14 m³ - 188 kW</t>
  </si>
  <si>
    <t>CHP</t>
  </si>
  <si>
    <t>E9571</t>
  </si>
  <si>
    <t>Caminhão tanque com capacidade de 10.000 l - 188 kW</t>
  </si>
  <si>
    <t>Transporte com cavalo mecânico com semirreboque, capacidade de 30 T - Rodovia pavimentada</t>
  </si>
  <si>
    <t>t.km</t>
  </si>
  <si>
    <t>MOBILIZAÇÃO / DESMOBILIZAÇÃO (IBOTIRAMA)</t>
  </si>
  <si>
    <t>PLACA DE OBRA EM CHAPA DE ACO GALVANIZADO</t>
  </si>
  <si>
    <t>INSUMO</t>
  </si>
  <si>
    <t>PREGO 18X30.</t>
  </si>
  <si>
    <t>kg</t>
  </si>
  <si>
    <t>PECA DE MADEIRA NATIVA / REGIONAL 7,5 X 7,5CM (3X3) NAO APARELHADA (P/FORMA)</t>
  </si>
  <si>
    <t>PECA DE MADEIRA DE LEI *2,5 X 7,5* CM (1" X 3"), NÃO APARELHADA, (P/TELHADO)</t>
  </si>
  <si>
    <t>PLACA DE OBRA (PARA CONSTRUCAO CIVIL) EM CHAPA GALVANIZADA *Nº 22*, DE *2,0 X 1,125* M</t>
  </si>
  <si>
    <t>AREIA MÉDIA</t>
  </si>
  <si>
    <t>CIMENTO</t>
  </si>
  <si>
    <t>PEDRA BRITADA Nº 2</t>
  </si>
  <si>
    <t>COMPOSIÇÃO</t>
  </si>
  <si>
    <t>BETONEIRA 320 L, DIESEL, POTENCIA DE 5,5 HP, SEM CARREGADOR MECANICO (LOCACAO)</t>
  </si>
  <si>
    <t>h</t>
  </si>
  <si>
    <t>CARPINTEIRO DE FORMAS COM ENCARGOS COMPLEMENTARES</t>
  </si>
  <si>
    <t>SERVENTE COM ENCARGOS COMPLEMENTARES</t>
  </si>
  <si>
    <t>SERVIÇOS TOPOGRÁFICOS</t>
  </si>
  <si>
    <t>SARRAFO DE MADEIRA APARELHADA *2 X 10* CM, MACARANDUBA, ANGELIM OU EQUIVALENTE DA REGIAO</t>
  </si>
  <si>
    <t>AUXILIAR DE TOPÓGRAFO COM ENCARGOS COMPLEMENTARES</t>
  </si>
  <si>
    <t>NIVELADOR COM ENCARGOS COMPLEMENTARES</t>
  </si>
  <si>
    <t>DESENHISTA DETALHISTA COM ENCARGOS COMPLEMENTARES</t>
  </si>
  <si>
    <t>CAMINHONETE CABINE SIMPLES COM MOTOR 1.6 FLEX, CÂMBIO MANUAL, POTÊNCIA 101/104 CV, 2 PORTAS - CHP DIURNO. AF_11/2015</t>
  </si>
  <si>
    <t>chp</t>
  </si>
  <si>
    <t xml:space="preserve">                      COMPANHIA DE DESENVOLVIMENTO DOS VALES DO SÃO FRANCISCO E DO PARNAÍBA</t>
  </si>
  <si>
    <t xml:space="preserve">                      2.ª GRD da 2ª SUPERINTENDÊNCIA REGIONAL- Bom Jesus da Lapa/Ba.</t>
  </si>
  <si>
    <t>UNID</t>
  </si>
  <si>
    <t>COEF.</t>
  </si>
  <si>
    <t>PRECO UNITÁRIO (R$)</t>
  </si>
  <si>
    <t>AREIA MEDIA - POSTO JAZIDA/FORNECEDOR (RETIRADO NA JAZIDA, SEM TRANSPORTE)</t>
  </si>
  <si>
    <t>0,0568000</t>
  </si>
  <si>
    <t>PO DE PEDRA (POSTO PEDREIRA/FORNECEDOR, SEM FRETE)</t>
  </si>
  <si>
    <t>CALCETEIRO COM ENCARGOS COMPLEMENTARES</t>
  </si>
  <si>
    <t>COMPACTAÇÃO MANUAL DE PAVIMENTAÇÃO DE BLOCO DE CONCRETO INTERTRAVADO COM PLACA VIBRATÓRIA 400KG - 7 A 10 HP NÃO REVERSÍVEL</t>
  </si>
  <si>
    <t>91283</t>
  </si>
  <si>
    <t>CORTADORA DE PISO COM MOTOR 4 TEMPOS A GASOLINA, POTÊNCIA DE 13 HP, COM DISCO DE CORTE DIAMANTADO SEGMENTADO PARA CONCRETO, DIÂMETRO DE 350 MM, FURO DE 1" (14 X 1") - CHP DIURNO. AF_08/2015</t>
  </si>
  <si>
    <t>BDI</t>
  </si>
  <si>
    <t>Total Serviços:</t>
  </si>
  <si>
    <t xml:space="preserve">Próprio </t>
  </si>
  <si>
    <t xml:space="preserve">EXECUÇÃO DE PASSEIO EM PISO INTERTRAVADO, COM BLOCO RETANGULAR COLORIDO DE 20 X 10 CM, ESPESSURA 6 CM </t>
  </si>
  <si>
    <t>BLOQUETE/PISO INTERTRAVADO DE CONCRETO - MODELO ONDA/16 FACES/RETANGULAR/TIJOLINHO/PAVER/HOLANDÊS/PARALELEPÍPEDO, 20 X 10 CM, E = 6 CM, RESISTÊNCIA DE 35 MPA, COLORIDO</t>
  </si>
  <si>
    <t>CHI</t>
  </si>
  <si>
    <t>Luminarias decorativas com chapeu refletor em aluminio, poste de 3 m, inclusive lampada de 250 w</t>
  </si>
  <si>
    <t>AJUDANTE DE CARPINTEIRO COM ENCARGOS COMPLEMENTARES</t>
  </si>
  <si>
    <t xml:space="preserve">SINAPI </t>
  </si>
  <si>
    <t>CONCRETO FCK = 20MPA, TRAÇO 1:2,7:3 (EM MASSA SECA DE CIMENTO/ AREIA MÉDIA/ BRITA 1) - PREPARO MECÂNICO COM BETONEIRA 400 L. AF_05/2021</t>
  </si>
  <si>
    <t>ARMAÇÃO DE PILAR OU VIGA DE UMA ESTRUTURA CONVENCIONAL DE CONCRETO ARMADO</t>
  </si>
  <si>
    <t xml:space="preserve">Pintura verniz (incolor) alquídico em madeira, duas demãos </t>
  </si>
  <si>
    <t>RAMPA DE ACESSIBILIDADE</t>
  </si>
  <si>
    <t>SARRAFO NAO APARELHADO *2,5 X 10* CM, EM MACARANDUBA, ANGELIM OU EQUIVALENTE DA REGIAO -  BRUTA</t>
  </si>
  <si>
    <t>SARRAFO *2,5 X 7,5* CM EM PINUS, MISTA OU EQUIVALENTE DA REGIAO - BRUTA</t>
  </si>
  <si>
    <t>Próprio (sinpai 93679)</t>
  </si>
  <si>
    <t xml:space="preserve">EXECUÇÃO DE PASSEIO EM PISO INTERTRAVADO, COM BLOCO RETANGULAR COR NATURAL DE 20 X 10 CM, ESPESSURA 6 CM </t>
  </si>
  <si>
    <t>BLOQUETE/PISO INTERTRAVADO DE CONCRETO - MODELO ONDA/16 FACES/RETANGULAR/TIJOLINHO/PAVER/HOLANDÊS/PARALELEPÍPEDO, 20 X 10 CM, E = 6 CM, RESISTÊNCIA DE 35 MPA, COR NATURAL</t>
  </si>
  <si>
    <t>ESCAVAÇÃO MANUAL DE VALA COM PROFUNDIDADE MENOR IGUAL 1,3 M.</t>
  </si>
  <si>
    <t>CABO DE COBRE NU 35 MM² MEIO-DURO</t>
  </si>
  <si>
    <t>ELETRICISTA COM ENCARGOS COMPLEMENTARES</t>
  </si>
  <si>
    <t>AUXILIAR DE ELETRICISTA COM ESCARGOS COMPLEMENTARES</t>
  </si>
  <si>
    <t>FITA ISOLANTE ADESIVA ANTICHAMA, USO ATÉ 750 V, EM ROLO DE 19 MM X 5 M</t>
  </si>
  <si>
    <t>LUMINÁRIA DE LED PARA ILUMINAÇÃO PÚBLICA, 100 W BIVOLT, SELO A INMETRO, CORPO EM ALUMÍNIO INJ, FP 0,97, PROT. DPS 10 KV, IP66, IK09, TEMP. COR 5000 K, IRC= OU 70%, 130 LM/W.GAR 5 ANOS , MODELO GL216 G-LIGHT OU SIMILAR</t>
  </si>
  <si>
    <t xml:space="preserve">CHUMBADOR DE AÇO, 1" X 600 MM, PARA POSTES DE AÇO COM BASE, INCLUSO PORCA E ARRUELA  </t>
  </si>
  <si>
    <t xml:space="preserve">POSTE EM AÇO GALVANIZADO CÔNICO CONTÍNUO RETO, DIÂMETRO SUPERIOR DE 76 MM, DIÂMETRO DE BASE 175 MM, ALTURA TOTAL 9 M. </t>
  </si>
  <si>
    <t>ALUGUEL DE CAMINHÃO GUINDAUTO 3,0 T</t>
  </si>
  <si>
    <t xml:space="preserve">Luminarias decorativas, poste com 9,0 m, com quatro luminárias de led 100 W, fornecimento e instalação </t>
  </si>
  <si>
    <t>Banco em concreto (pés), com assento e encosto de madeira</t>
  </si>
  <si>
    <t>PARAFUSO FRANCÊS, COMPRIMENTO = 150 MM, DIÂMETRO 16 MM, CABEÇA ABAULADA</t>
  </si>
  <si>
    <t xml:space="preserve">FORMA METÁLICA PARA PRÉ-MOLDADOS, EM CHAPA E PERFIS DE AÇO, 120 USOS </t>
  </si>
  <si>
    <t>VIGA APARELHADA 0,05 X 0,12 M, EM MAÇARANDUBA, ANGELIM OU EQUIVALENTE</t>
  </si>
  <si>
    <t>Execução de rampa em concreto armado, fck = 20 mPa</t>
  </si>
  <si>
    <t>LASTRO COM MATERIAL GRANULAR (PEDRA BRITADA N.2), APLICADO EM PISOS OU LAJES SOBRE SOLO, ESPESSURA DE *10 CM*. AF_08/2017</t>
  </si>
  <si>
    <t>FABRICAÇÃO, MONTAGEM E DESMONTAGEM DE FORMA PARA RADIER, PISO DE CONCRETO OU LAJE SOBRE SOLO, EM MADEIRA SERRADA, 4 UTILIZAÇÕES. AF_09/2021</t>
  </si>
  <si>
    <t>CAMADA SEPARADORA PARA EXECUÇÃO DE RADIER, PISO DE CONCRETO OU LAJE SOBRE SOLO, EM LONA PLÁSTICA. AF_09/2021</t>
  </si>
  <si>
    <t>ARMAÇÃO PARA EXECUÇÃO DE RADIER, PISO DE CONCRETO OU LAJE SOBRE SOLO, COM USO DE TELA Q-113. AF_09/2021</t>
  </si>
  <si>
    <t>OBRA:</t>
  </si>
  <si>
    <t>Obras rodoviárias</t>
  </si>
  <si>
    <t>FAIXAS DE ADMISSIBILIDADE DE ACORDO COM O ACORDÃO N. 2622/2013 DO TCU</t>
  </si>
  <si>
    <t xml:space="preserve">DISCRIMINAÇÃO </t>
  </si>
  <si>
    <t>PERC.   (%)</t>
  </si>
  <si>
    <t>MÍNIMO</t>
  </si>
  <si>
    <t>MÉDIO</t>
  </si>
  <si>
    <t>MÁXIMO</t>
  </si>
  <si>
    <t>1.00</t>
  </si>
  <si>
    <t xml:space="preserve"> Despesas Indiretas</t>
  </si>
  <si>
    <t>A1</t>
  </si>
  <si>
    <t>Seguro e Garantia</t>
  </si>
  <si>
    <t>A2</t>
  </si>
  <si>
    <t>Riscos e Imprevistos</t>
  </si>
  <si>
    <t>A3</t>
  </si>
  <si>
    <t>Despesas Financeiras</t>
  </si>
  <si>
    <t>A4</t>
  </si>
  <si>
    <t>Administração Central</t>
  </si>
  <si>
    <t>Total do Grupo A =</t>
  </si>
  <si>
    <t>2.00</t>
  </si>
  <si>
    <t>Benefício</t>
  </si>
  <si>
    <t>B-1</t>
  </si>
  <si>
    <t>LUCRO</t>
  </si>
  <si>
    <t>Total do Grupo B =</t>
  </si>
  <si>
    <t>3.00</t>
  </si>
  <si>
    <t>Impostos</t>
  </si>
  <si>
    <t>CÁLCULO DO ISS</t>
  </si>
  <si>
    <t>C-1</t>
  </si>
  <si>
    <t>PIS / PASEP</t>
  </si>
  <si>
    <t>ALÍQUOTA MUNICIPAL (%)</t>
  </si>
  <si>
    <t>% DE MÃO DE OBRA</t>
  </si>
  <si>
    <t>ALÍQUOTA FINAL (%)</t>
  </si>
  <si>
    <t>C-2</t>
  </si>
  <si>
    <t>C-3</t>
  </si>
  <si>
    <t>ISS</t>
  </si>
  <si>
    <t>C-4</t>
  </si>
  <si>
    <t>CPRB (Contribuição Previdenciária sobre o Lucro Bruto)</t>
  </si>
  <si>
    <t>Total do Grupo C =</t>
  </si>
  <si>
    <t>Fórmula Para Cálculo do B.D.I</t>
  </si>
  <si>
    <t>BDI =(((1+A4+A1+A2)*(1+A3)*(1+B1))/(1-C))-1</t>
  </si>
  <si>
    <t>Bonificação Sobre Despesas indiretas (B.D.I) =</t>
  </si>
  <si>
    <t>NOME DA CONCORRENTE:</t>
  </si>
  <si>
    <t>EDITAL:</t>
  </si>
  <si>
    <t>FOLHA:</t>
  </si>
  <si>
    <t>VIGÊNCIA A PARTIR DE 10/2021</t>
  </si>
  <si>
    <t>COM DESONERAÇÃO</t>
  </si>
  <si>
    <t>NÃO DESONERADO</t>
  </si>
  <si>
    <t>HORISTA</t>
  </si>
  <si>
    <t>MENSALISTA</t>
  </si>
  <si>
    <t>GRUPO A</t>
  </si>
  <si>
    <t>INSS</t>
  </si>
  <si>
    <t>SESI</t>
  </si>
  <si>
    <t>SENAI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</si>
  <si>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</si>
  <si>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</si>
  <si>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</si>
  <si>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</si>
  <si>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</si>
  <si>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</si>
  <si>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</si>
  <si>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</si>
  <si>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</si>
  <si>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</si>
  <si>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</si>
  <si>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</si>
  <si>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</si>
  <si>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</si>
  <si>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</si>
  <si>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-</t>
  </si>
  <si>
    <t>B2</t>
  </si>
  <si>
    <t>Feriados</t>
  </si>
  <si>
    <t>B3</t>
  </si>
  <si>
    <t>Auxílio-enfermidade</t>
  </si>
  <si>
    <t>B4</t>
  </si>
  <si>
    <t>13° salário</t>
  </si>
  <si>
    <t>B5</t>
  </si>
  <si>
    <t>Licença-paternidade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</si>
  <si>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</si>
  <si>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</si>
  <si>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</si>
  <si>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</si>
  <si>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</si>
  <si>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</si>
  <si>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</si>
  <si>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</si>
  <si>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</si>
  <si>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</si>
  <si>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</si>
  <si>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 xml:space="preserve">Total 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</si>
  <si>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</si>
  <si>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</si>
  <si>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</si>
  <si>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</si>
  <si>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</si>
  <si>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</si>
  <si>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</si>
  <si>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</si>
  <si>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</si>
  <si>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</si>
  <si>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</si>
  <si>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</si>
  <si>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</si>
  <si>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</si>
  <si>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A sobre B</t>
  </si>
  <si>
    <t>D2</t>
  </si>
  <si>
    <t>Reincidência de Grupo A sobre Aviso Prévio Trabalhado e Reincidência do FGTS sobre Aviso Prévio Indenizado</t>
  </si>
  <si>
    <t>D</t>
  </si>
  <si>
    <t>T O T A L (%)</t>
  </si>
  <si>
    <t>PLANILHA ORÇAMENTÁRIA - IBOTIRAMA - LOTE 02</t>
  </si>
  <si>
    <t>SINAPI: OUTBRO/2021; ORSE: SETEMBRO/2021; SICRO: JULHO/2021</t>
  </si>
  <si>
    <t>CRONOGRAMA FÍSICO/FINANCEIRO - IBOTIRAMA - LOTE 02</t>
  </si>
  <si>
    <t>MEMÓRIA DE CÁLCULO - IBOTIRAMA - LOTE 02</t>
  </si>
  <si>
    <t>LOTE 02 - IBOTIRAMA</t>
  </si>
  <si>
    <t xml:space="preserve">                 MINISTÉRIO DO DESENVOLVIMENTO REGIONAL</t>
  </si>
  <si>
    <t>MEMÓRIA DE CALCULO DO BDI  DOS SERVIÇOS - NÃO DESONERADO</t>
  </si>
  <si>
    <t>BDI APLICADO NA OBRA (SEM RISCO, SEGURO E GARANTIA)</t>
  </si>
  <si>
    <t>PLANILHA DE DETALHAMENTO DO BDI - PRAÇAS</t>
  </si>
  <si>
    <t>PLANILHA COMPOSIÇÕES DE PREÇOS - PRAÇA IBOTIRAMA - LOTE 02</t>
  </si>
  <si>
    <t xml:space="preserve">DETALHAMENTO DOS ENCARGOS SOCIAIS (%) - PRAÇAS </t>
  </si>
  <si>
    <t xml:space="preserve">                      MINISTÉRIO DO DESENVOLVIMENTO REGIONAL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</si>
</sst>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#,##0.000000"/>
    <numFmt numFmtId="166" formatCode="_(&quot;R$ &quot;* #,##0.00_);_(&quot;R$ &quot;* \(#,##0.00\);_(&quot;R$ &quot;* &quot;-&quot;??_);_(@_)"/>
    <numFmt numFmtId="167" formatCode="&quot;R$&quot;\ #,##0.00"/>
    <numFmt numFmtId="168" formatCode="#,##0.00\ ;&quot; (&quot;#,##0.00\);&quot; -&quot;#\ ;@\ "/>
    <numFmt numFmtId="169" formatCode="_(* #,##0.00_);_(* \(#,##0.00\);_(* &quot;-&quot;??_);_(@_)"/>
    <numFmt numFmtId="170" formatCode="0.00_);[Red]\(0.00\)"/>
    <numFmt numFmtId="171" formatCode="#,##0.0000000"/>
    <numFmt numFmtId="172" formatCode="#,##0.0000"/>
    <numFmt numFmtId="173" formatCode="0.0000"/>
    <numFmt numFmtId="174" formatCode="&quot;R$&quot;#,##0.00_);[Red]\(&quot;R$&quot;#,##0.00\)"/>
  </numFmts>
  <fonts count="52">
    <font>
      <sz val="10"/>
      <name val="Arial"/>
      <charset val="134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8"/>
      <color indexed="8"/>
      <name val="Times New Roman"/>
      <family val="1"/>
    </font>
    <font>
      <sz val="10"/>
      <color indexed="8"/>
      <name val="Times New Roman"/>
      <family val="1"/>
    </font>
    <font>
      <sz val="8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trike/>
      <sz val="10"/>
      <name val="Arial"/>
      <family val="2"/>
    </font>
    <font>
      <b/>
      <sz val="12"/>
      <color rgb="FFFF0000"/>
      <name val="Arial"/>
      <family val="2"/>
    </font>
    <font>
      <b/>
      <sz val="8"/>
      <color indexed="8"/>
      <name val="Courier"/>
      <charset val="134"/>
    </font>
    <font>
      <sz val="8"/>
      <color indexed="8"/>
      <name val="Courier"/>
      <charset val="134"/>
    </font>
    <font>
      <b/>
      <sz val="8"/>
      <name val="Verdana"/>
      <family val="2"/>
    </font>
    <font>
      <b/>
      <sz val="11"/>
      <name val="Verdana"/>
      <family val="2"/>
    </font>
    <font>
      <b/>
      <sz val="15"/>
      <name val="Arial"/>
      <family val="2"/>
    </font>
    <font>
      <b/>
      <sz val="18"/>
      <name val="Arial"/>
      <family val="2"/>
    </font>
    <font>
      <sz val="9"/>
      <name val="Verdana"/>
      <family val="2"/>
    </font>
    <font>
      <b/>
      <sz val="9"/>
      <name val="Verdana"/>
      <family val="2"/>
    </font>
    <font>
      <sz val="8"/>
      <name val="Verdana"/>
      <family val="2"/>
    </font>
    <font>
      <b/>
      <sz val="10"/>
      <color indexed="8"/>
      <name val="Arial Narrow"/>
      <family val="2"/>
    </font>
    <font>
      <sz val="10"/>
      <color indexed="8"/>
      <name val="Arial Narrow"/>
      <family val="2"/>
    </font>
    <font>
      <sz val="12"/>
      <color indexed="8"/>
      <name val="Arial Narrow"/>
      <family val="2"/>
    </font>
    <font>
      <b/>
      <sz val="14"/>
      <name val="Arial"/>
      <family val="2"/>
    </font>
    <font>
      <b/>
      <sz val="12"/>
      <name val="MonoMM1_ZeroNormal"/>
      <charset val="134"/>
    </font>
    <font>
      <sz val="10"/>
      <name val="MonoMM1_ZeroNormal"/>
      <charset val="134"/>
    </font>
    <font>
      <sz val="10"/>
      <color theme="1"/>
      <name val="Calibri"/>
      <family val="2"/>
      <scheme val="minor"/>
    </font>
    <font>
      <sz val="11"/>
      <color indexed="8"/>
      <name val="Arial Narrow"/>
      <family val="2"/>
    </font>
    <font>
      <sz val="8"/>
      <name val="Arial"/>
      <family val="2"/>
    </font>
    <font>
      <sz val="10"/>
      <color rgb="FFFF0000"/>
      <name val="Arial"/>
      <family val="2"/>
    </font>
    <font>
      <b/>
      <sz val="11"/>
      <color indexed="8"/>
      <name val="Arial Narrow"/>
      <family val="2"/>
    </font>
    <font>
      <b/>
      <sz val="14"/>
      <color rgb="FFFF0000"/>
      <name val="Arial"/>
      <family val="2"/>
    </font>
    <font>
      <b/>
      <sz val="11"/>
      <name val="MonoMM1_ZeroNormal"/>
      <charset val="13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1"/>
      <name val="Arial"/>
      <family val="2"/>
    </font>
    <font>
      <b/>
      <sz val="16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theme="0" tint="-0.14993743705557422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4" tint="0.7998901333658864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2065187536243"/>
        <bgColor indexed="64"/>
      </patternFill>
    </fill>
    <fill>
      <patternFill patternType="solid">
        <fgColor theme="6" tint="0.59999389629810485"/>
        <bgColor indexed="8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9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6">
    <xf numFmtId="0" fontId="0" fillId="0" borderId="0"/>
    <xf numFmtId="16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0" fontId="48" fillId="0" borderId="0"/>
    <xf numFmtId="166" fontId="48" fillId="0" borderId="0" applyFont="0" applyFill="0" applyBorder="0" applyAlignment="0" applyProtection="0"/>
    <xf numFmtId="169" fontId="46" fillId="0" borderId="0" applyFont="0" applyFill="0" applyBorder="0" applyAlignment="0" applyProtection="0"/>
    <xf numFmtId="0" fontId="48" fillId="0" borderId="0"/>
    <xf numFmtId="169" fontId="48" fillId="0" borderId="0" applyFont="0" applyFill="0" applyBorder="0" applyAlignment="0" applyProtection="0"/>
    <xf numFmtId="0" fontId="48" fillId="0" borderId="0"/>
    <xf numFmtId="0" fontId="45" fillId="0" borderId="0"/>
    <xf numFmtId="0" fontId="45" fillId="0" borderId="0"/>
    <xf numFmtId="43" fontId="45" fillId="0" borderId="0" applyFont="0" applyFill="0" applyBorder="0" applyAlignment="0" applyProtection="0"/>
    <xf numFmtId="0" fontId="47" fillId="0" borderId="0"/>
    <xf numFmtId="9" fontId="48" fillId="0" borderId="0" applyFont="0" applyFill="0" applyBorder="0" applyAlignment="0" applyProtection="0"/>
    <xf numFmtId="43" fontId="45" fillId="0" borderId="0" applyFont="0" applyFill="0" applyBorder="0" applyAlignment="0" applyProtection="0"/>
  </cellStyleXfs>
  <cellXfs count="51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0" fontId="3" fillId="0" borderId="7" xfId="0" applyNumberFormat="1" applyFont="1" applyBorder="1" applyAlignment="1">
      <alignment vertical="center"/>
    </xf>
    <xf numFmtId="10" fontId="3" fillId="0" borderId="9" xfId="0" applyNumberFormat="1" applyFont="1" applyBorder="1" applyAlignment="1">
      <alignment vertical="center"/>
    </xf>
    <xf numFmtId="0" fontId="2" fillId="0" borderId="0" xfId="4" applyFont="1"/>
    <xf numFmtId="0" fontId="6" fillId="0" borderId="16" xfId="13" applyFont="1" applyFill="1" applyBorder="1" applyAlignment="1">
      <alignment horizontal="center" vertical="center" wrapText="1"/>
    </xf>
    <xf numFmtId="171" fontId="6" fillId="0" borderId="16" xfId="5" applyNumberFormat="1" applyFont="1" applyFill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10" fontId="8" fillId="0" borderId="21" xfId="9" applyNumberFormat="1" applyFont="1" applyBorder="1" applyAlignment="1">
      <alignment vertical="center"/>
    </xf>
    <xf numFmtId="0" fontId="8" fillId="0" borderId="21" xfId="9" applyFont="1" applyBorder="1" applyAlignment="1">
      <alignment horizontal="right" vertical="center"/>
    </xf>
    <xf numFmtId="10" fontId="8" fillId="0" borderId="22" xfId="9" applyNumberFormat="1" applyFont="1" applyBorder="1" applyAlignment="1">
      <alignment horizontal="right" vertical="center"/>
    </xf>
    <xf numFmtId="0" fontId="7" fillId="0" borderId="23" xfId="0" applyFont="1" applyBorder="1" applyAlignment="1">
      <alignment horizontal="center" vertical="center"/>
    </xf>
    <xf numFmtId="0" fontId="8" fillId="0" borderId="23" xfId="9" applyFont="1" applyBorder="1" applyAlignment="1">
      <alignment horizontal="right" vertical="center"/>
    </xf>
    <xf numFmtId="10" fontId="8" fillId="0" borderId="24" xfId="9" applyNumberFormat="1" applyFont="1" applyBorder="1" applyAlignment="1">
      <alignment horizontal="right" vertical="center"/>
    </xf>
    <xf numFmtId="0" fontId="7" fillId="4" borderId="26" xfId="0" applyFont="1" applyFill="1" applyBorder="1" applyAlignment="1">
      <alignment horizontal="center" vertical="center"/>
    </xf>
    <xf numFmtId="0" fontId="9" fillId="2" borderId="26" xfId="13" applyFont="1" applyFill="1" applyBorder="1" applyAlignment="1">
      <alignment horizontal="center" vertical="center" wrapText="1"/>
    </xf>
    <xf numFmtId="0" fontId="6" fillId="0" borderId="16" xfId="13" applyFont="1" applyFill="1" applyBorder="1" applyAlignment="1">
      <alignment horizontal="justify" vertical="center" wrapText="1"/>
    </xf>
    <xf numFmtId="0" fontId="0" fillId="0" borderId="9" xfId="4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0" fontId="10" fillId="0" borderId="28" xfId="7" applyFont="1" applyFill="1" applyBorder="1" applyAlignment="1"/>
    <xf numFmtId="0" fontId="10" fillId="0" borderId="29" xfId="7" applyFont="1" applyFill="1" applyBorder="1" applyAlignment="1"/>
    <xf numFmtId="0" fontId="10" fillId="0" borderId="30" xfId="7" applyFont="1" applyFill="1" applyBorder="1" applyAlignment="1"/>
    <xf numFmtId="0" fontId="10" fillId="0" borderId="31" xfId="7" applyFont="1" applyFill="1" applyBorder="1" applyAlignment="1"/>
    <xf numFmtId="0" fontId="10" fillId="0" borderId="0" xfId="7" applyFont="1" applyFill="1" applyBorder="1" applyAlignment="1"/>
    <xf numFmtId="0" fontId="10" fillId="0" borderId="32" xfId="7" applyFont="1" applyFill="1" applyBorder="1" applyAlignment="1"/>
    <xf numFmtId="0" fontId="10" fillId="0" borderId="33" xfId="7" applyFont="1" applyFill="1" applyBorder="1" applyAlignment="1"/>
    <xf numFmtId="0" fontId="10" fillId="0" borderId="25" xfId="7" applyFont="1" applyFill="1" applyBorder="1" applyAlignment="1"/>
    <xf numFmtId="0" fontId="10" fillId="0" borderId="26" xfId="7" applyFont="1" applyFill="1" applyBorder="1" applyAlignment="1"/>
    <xf numFmtId="0" fontId="10" fillId="0" borderId="34" xfId="7" applyFont="1" applyFill="1" applyBorder="1" applyAlignment="1"/>
    <xf numFmtId="0" fontId="12" fillId="0" borderId="26" xfId="9" applyFont="1" applyFill="1" applyBorder="1" applyAlignment="1">
      <alignment horizontal="center" vertical="center"/>
    </xf>
    <xf numFmtId="0" fontId="11" fillId="0" borderId="31" xfId="7" applyFont="1" applyFill="1" applyBorder="1" applyAlignment="1"/>
    <xf numFmtId="0" fontId="12" fillId="0" borderId="33" xfId="9" applyFont="1" applyFill="1" applyBorder="1" applyAlignment="1">
      <alignment horizontal="center" vertical="center"/>
    </xf>
    <xf numFmtId="0" fontId="11" fillId="0" borderId="42" xfId="9" applyFont="1" applyFill="1" applyBorder="1" applyAlignment="1">
      <alignment horizontal="center"/>
    </xf>
    <xf numFmtId="0" fontId="11" fillId="0" borderId="20" xfId="9" applyFont="1" applyFill="1" applyBorder="1" applyAlignment="1"/>
    <xf numFmtId="168" fontId="11" fillId="5" borderId="20" xfId="9" applyNumberFormat="1" applyFont="1" applyFill="1" applyBorder="1" applyAlignment="1">
      <alignment horizontal="center" vertical="center"/>
    </xf>
    <xf numFmtId="168" fontId="11" fillId="5" borderId="43" xfId="9" applyNumberFormat="1" applyFont="1" applyFill="1" applyBorder="1" applyAlignment="1">
      <alignment horizontal="center" vertical="center"/>
    </xf>
    <xf numFmtId="0" fontId="11" fillId="0" borderId="44" xfId="9" applyFont="1" applyFill="1" applyBorder="1" applyAlignment="1">
      <alignment horizontal="center"/>
    </xf>
    <xf numFmtId="0" fontId="11" fillId="0" borderId="17" xfId="9" applyFont="1" applyFill="1" applyBorder="1" applyAlignment="1"/>
    <xf numFmtId="168" fontId="11" fillId="5" borderId="17" xfId="9" applyNumberFormat="1" applyFont="1" applyFill="1" applyBorder="1" applyAlignment="1">
      <alignment horizontal="center" vertical="center"/>
    </xf>
    <xf numFmtId="168" fontId="11" fillId="5" borderId="45" xfId="9" applyNumberFormat="1" applyFont="1" applyFill="1" applyBorder="1" applyAlignment="1">
      <alignment horizontal="center" vertical="center"/>
    </xf>
    <xf numFmtId="0" fontId="11" fillId="0" borderId="46" xfId="9" applyFont="1" applyFill="1" applyBorder="1" applyAlignment="1">
      <alignment horizontal="center"/>
    </xf>
    <xf numFmtId="0" fontId="11" fillId="0" borderId="15" xfId="9" applyFont="1" applyFill="1" applyBorder="1" applyAlignment="1"/>
    <xf numFmtId="168" fontId="11" fillId="5" borderId="15" xfId="9" applyNumberFormat="1" applyFont="1" applyFill="1" applyBorder="1" applyAlignment="1">
      <alignment horizontal="center" vertical="center"/>
    </xf>
    <xf numFmtId="168" fontId="11" fillId="5" borderId="47" xfId="9" applyNumberFormat="1" applyFont="1" applyFill="1" applyBorder="1" applyAlignment="1">
      <alignment horizontal="center" vertical="center"/>
    </xf>
    <xf numFmtId="0" fontId="12" fillId="0" borderId="9" xfId="9" applyFont="1" applyFill="1" applyBorder="1" applyAlignment="1">
      <alignment vertical="center"/>
    </xf>
    <xf numFmtId="168" fontId="12" fillId="6" borderId="9" xfId="9" applyNumberFormat="1" applyFont="1" applyFill="1" applyBorder="1" applyAlignment="1">
      <alignment horizontal="center" vertical="center"/>
    </xf>
    <xf numFmtId="168" fontId="12" fillId="6" borderId="41" xfId="9" applyNumberFormat="1" applyFont="1" applyFill="1" applyBorder="1" applyAlignment="1">
      <alignment horizontal="center" vertical="center"/>
    </xf>
    <xf numFmtId="0" fontId="11" fillId="0" borderId="46" xfId="9" applyFont="1" applyFill="1" applyBorder="1" applyAlignment="1">
      <alignment horizontal="center" vertical="center"/>
    </xf>
    <xf numFmtId="0" fontId="11" fillId="0" borderId="15" xfId="9" applyFont="1" applyFill="1" applyBorder="1" applyAlignment="1">
      <alignment horizontal="justify" vertical="center" wrapText="1"/>
    </xf>
    <xf numFmtId="168" fontId="12" fillId="6" borderId="49" xfId="9" applyNumberFormat="1" applyFont="1" applyFill="1" applyBorder="1" applyAlignment="1">
      <alignment horizontal="center" vertical="center"/>
    </xf>
    <xf numFmtId="10" fontId="12" fillId="6" borderId="49" xfId="9" applyNumberFormat="1" applyFont="1" applyFill="1" applyBorder="1" applyAlignment="1">
      <alignment horizontal="center" vertical="center"/>
    </xf>
    <xf numFmtId="10" fontId="12" fillId="6" borderId="50" xfId="9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/>
    <xf numFmtId="0" fontId="0" fillId="0" borderId="0" xfId="0" applyFont="1"/>
    <xf numFmtId="0" fontId="0" fillId="0" borderId="0" xfId="0" applyFont="1" applyAlignment="1">
      <alignment horizontal="center"/>
    </xf>
    <xf numFmtId="0" fontId="2" fillId="0" borderId="0" xfId="0" applyFont="1"/>
    <xf numFmtId="0" fontId="1" fillId="0" borderId="33" xfId="0" applyFont="1" applyBorder="1" applyAlignment="1">
      <alignment vertical="center"/>
    </xf>
    <xf numFmtId="0" fontId="1" fillId="0" borderId="31" xfId="0" applyFont="1" applyBorder="1" applyAlignment="1">
      <alignment vertical="center" wrapText="1"/>
    </xf>
    <xf numFmtId="49" fontId="17" fillId="8" borderId="31" xfId="11" applyNumberFormat="1" applyFont="1" applyFill="1" applyBorder="1" applyAlignment="1">
      <alignment horizontal="center" vertical="center"/>
    </xf>
    <xf numFmtId="49" fontId="17" fillId="8" borderId="0" xfId="11" applyNumberFormat="1" applyFont="1" applyFill="1" applyBorder="1" applyAlignment="1">
      <alignment horizontal="center" vertical="center"/>
    </xf>
    <xf numFmtId="0" fontId="18" fillId="0" borderId="0" xfId="11" applyFont="1" applyBorder="1"/>
    <xf numFmtId="0" fontId="13" fillId="8" borderId="0" xfId="11" applyFont="1" applyFill="1" applyBorder="1" applyAlignment="1">
      <alignment horizontal="center" vertical="center"/>
    </xf>
    <xf numFmtId="0" fontId="13" fillId="0" borderId="48" xfId="11" applyFont="1" applyFill="1" applyBorder="1" applyAlignment="1">
      <alignment horizontal="center" vertical="center"/>
    </xf>
    <xf numFmtId="0" fontId="0" fillId="0" borderId="0" xfId="11" applyFont="1" applyBorder="1" applyAlignment="1">
      <alignment vertical="center"/>
    </xf>
    <xf numFmtId="169" fontId="2" fillId="0" borderId="65" xfId="11" applyNumberFormat="1" applyFont="1" applyFill="1" applyBorder="1" applyAlignment="1">
      <alignment horizontal="center" vertical="center" wrapText="1"/>
    </xf>
    <xf numFmtId="0" fontId="2" fillId="0" borderId="0" xfId="11" applyFont="1" applyFill="1" applyBorder="1" applyAlignment="1">
      <alignment horizontal="justify" vertical="center" wrapText="1"/>
    </xf>
    <xf numFmtId="0" fontId="2" fillId="0" borderId="65" xfId="11" applyFont="1" applyFill="1" applyBorder="1" applyAlignment="1">
      <alignment horizontal="justify" vertical="center" wrapText="1"/>
    </xf>
    <xf numFmtId="0" fontId="0" fillId="0" borderId="33" xfId="11" applyFont="1" applyBorder="1" applyAlignment="1">
      <alignment horizontal="center" vertical="center"/>
    </xf>
    <xf numFmtId="0" fontId="0" fillId="0" borderId="9" xfId="11" applyFont="1" applyFill="1" applyBorder="1" applyAlignment="1">
      <alignment vertical="center"/>
    </xf>
    <xf numFmtId="10" fontId="0" fillId="9" borderId="41" xfId="12" applyNumberFormat="1" applyFont="1" applyFill="1" applyBorder="1" applyAlignment="1" applyProtection="1">
      <alignment horizontal="center" vertical="center"/>
      <protection locked="0"/>
    </xf>
    <xf numFmtId="10" fontId="0" fillId="0" borderId="0" xfId="12" applyNumberFormat="1" applyFont="1" applyBorder="1" applyAlignment="1">
      <alignment horizontal="center" vertical="center"/>
    </xf>
    <xf numFmtId="10" fontId="0" fillId="0" borderId="33" xfId="12" applyNumberFormat="1" applyFont="1" applyBorder="1" applyAlignment="1">
      <alignment horizontal="center" vertical="center"/>
    </xf>
    <xf numFmtId="10" fontId="2" fillId="0" borderId="50" xfId="12" applyNumberFormat="1" applyFont="1" applyBorder="1" applyAlignment="1">
      <alignment horizontal="center" vertical="center"/>
    </xf>
    <xf numFmtId="10" fontId="2" fillId="0" borderId="0" xfId="12" applyNumberFormat="1" applyFont="1" applyBorder="1" applyAlignment="1">
      <alignment horizontal="center" vertical="center"/>
    </xf>
    <xf numFmtId="10" fontId="0" fillId="0" borderId="48" xfId="12" applyNumberFormat="1" applyFont="1" applyBorder="1" applyAlignment="1">
      <alignment horizontal="center" vertical="center"/>
    </xf>
    <xf numFmtId="0" fontId="0" fillId="0" borderId="0" xfId="11" applyFont="1" applyBorder="1" applyAlignment="1">
      <alignment horizontal="center" vertical="center"/>
    </xf>
    <xf numFmtId="10" fontId="0" fillId="0" borderId="65" xfId="12" applyNumberFormat="1" applyFont="1" applyBorder="1" applyAlignment="1">
      <alignment horizontal="center" vertical="center"/>
    </xf>
    <xf numFmtId="0" fontId="0" fillId="0" borderId="72" xfId="11" applyFont="1" applyBorder="1" applyAlignment="1">
      <alignment horizontal="center" vertical="center"/>
    </xf>
    <xf numFmtId="10" fontId="0" fillId="9" borderId="75" xfId="12" applyNumberFormat="1" applyFont="1" applyFill="1" applyBorder="1" applyAlignment="1" applyProtection="1">
      <alignment horizontal="center" vertical="center"/>
      <protection locked="0"/>
    </xf>
    <xf numFmtId="10" fontId="2" fillId="0" borderId="0" xfId="12" applyNumberFormat="1" applyFont="1" applyBorder="1" applyAlignment="1">
      <alignment horizontal="center" vertical="center" wrapText="1"/>
    </xf>
    <xf numFmtId="10" fontId="0" fillId="0" borderId="78" xfId="12" applyNumberFormat="1" applyFont="1" applyBorder="1" applyAlignment="1">
      <alignment horizontal="center" vertical="center"/>
    </xf>
    <xf numFmtId="0" fontId="0" fillId="0" borderId="13" xfId="11" applyFont="1" applyFill="1" applyBorder="1" applyAlignment="1">
      <alignment vertical="center"/>
    </xf>
    <xf numFmtId="10" fontId="0" fillId="8" borderId="0" xfId="12" applyNumberFormat="1" applyFont="1" applyFill="1" applyBorder="1" applyAlignment="1">
      <alignment vertical="center"/>
    </xf>
    <xf numFmtId="10" fontId="0" fillId="0" borderId="0" xfId="12" applyNumberFormat="1" applyFont="1" applyBorder="1" applyAlignment="1">
      <alignment vertical="center"/>
    </xf>
    <xf numFmtId="0" fontId="0" fillId="0" borderId="0" xfId="11" applyFont="1" applyFill="1" applyBorder="1" applyAlignment="1">
      <alignment horizontal="center" vertical="center"/>
    </xf>
    <xf numFmtId="169" fontId="2" fillId="0" borderId="31" xfId="11" applyNumberFormat="1" applyFont="1" applyFill="1" applyBorder="1" applyAlignment="1">
      <alignment horizontal="center" vertical="center" wrapText="1"/>
    </xf>
    <xf numFmtId="169" fontId="0" fillId="0" borderId="0" xfId="11" applyNumberFormat="1" applyFont="1" applyBorder="1" applyAlignment="1">
      <alignment vertical="center"/>
    </xf>
    <xf numFmtId="0" fontId="0" fillId="0" borderId="31" xfId="11" applyFont="1" applyFill="1" applyBorder="1" applyAlignment="1">
      <alignment horizontal="center" vertical="center"/>
    </xf>
    <xf numFmtId="0" fontId="2" fillId="0" borderId="0" xfId="11" applyFont="1" applyFill="1" applyBorder="1" applyAlignment="1">
      <alignment horizontal="center" vertical="center"/>
    </xf>
    <xf numFmtId="0" fontId="0" fillId="0" borderId="31" xfId="11" applyFont="1" applyFill="1" applyBorder="1" applyAlignment="1">
      <alignment horizontal="right" vertical="center"/>
    </xf>
    <xf numFmtId="0" fontId="0" fillId="0" borderId="0" xfId="11" applyFont="1" applyFill="1" applyBorder="1" applyAlignment="1">
      <alignment horizontal="right" vertical="center"/>
    </xf>
    <xf numFmtId="166" fontId="21" fillId="0" borderId="0" xfId="12" applyNumberFormat="1" applyFont="1" applyBorder="1" applyAlignment="1">
      <alignment vertical="center"/>
    </xf>
    <xf numFmtId="10" fontId="1" fillId="0" borderId="0" xfId="11" applyNumberFormat="1" applyFont="1" applyFill="1" applyBorder="1" applyAlignment="1">
      <alignment vertical="center"/>
    </xf>
    <xf numFmtId="10" fontId="1" fillId="0" borderId="53" xfId="11" applyNumberFormat="1" applyFont="1" applyFill="1" applyBorder="1" applyAlignment="1">
      <alignment vertical="center"/>
    </xf>
    <xf numFmtId="10" fontId="0" fillId="0" borderId="53" xfId="12" applyNumberFormat="1" applyFont="1" applyBorder="1" applyAlignment="1">
      <alignment vertical="center"/>
    </xf>
    <xf numFmtId="0" fontId="18" fillId="0" borderId="32" xfId="11" applyFont="1" applyBorder="1"/>
    <xf numFmtId="0" fontId="0" fillId="0" borderId="0" xfId="0" applyAlignment="1">
      <alignment horizontal="center"/>
    </xf>
    <xf numFmtId="0" fontId="13" fillId="0" borderId="50" xfId="11" applyFont="1" applyFill="1" applyBorder="1" applyAlignment="1">
      <alignment horizontal="center" vertical="center"/>
    </xf>
    <xf numFmtId="0" fontId="18" fillId="0" borderId="84" xfId="11" applyFont="1" applyBorder="1"/>
    <xf numFmtId="10" fontId="0" fillId="0" borderId="41" xfId="12" applyNumberFormat="1" applyFont="1" applyBorder="1" applyAlignment="1">
      <alignment horizontal="center" vertical="center"/>
    </xf>
    <xf numFmtId="10" fontId="0" fillId="0" borderId="33" xfId="12" applyNumberFormat="1" applyFont="1" applyFill="1" applyBorder="1" applyAlignment="1" applyProtection="1">
      <alignment horizontal="center" vertical="center"/>
    </xf>
    <xf numFmtId="10" fontId="0" fillId="0" borderId="50" xfId="12" applyNumberFormat="1" applyFont="1" applyBorder="1" applyAlignment="1">
      <alignment horizontal="center" vertical="center"/>
    </xf>
    <xf numFmtId="10" fontId="0" fillId="0" borderId="32" xfId="12" applyNumberFormat="1" applyFont="1" applyBorder="1" applyAlignment="1">
      <alignment horizontal="center" vertical="center"/>
    </xf>
    <xf numFmtId="10" fontId="0" fillId="0" borderId="84" xfId="12" applyNumberFormat="1" applyFont="1" applyBorder="1" applyAlignment="1">
      <alignment horizontal="center" vertical="center"/>
    </xf>
    <xf numFmtId="10" fontId="0" fillId="0" borderId="85" xfId="12" applyNumberFormat="1" applyFont="1" applyBorder="1" applyAlignment="1">
      <alignment horizontal="center" vertical="center"/>
    </xf>
    <xf numFmtId="10" fontId="0" fillId="8" borderId="32" xfId="12" applyNumberFormat="1" applyFont="1" applyFill="1" applyBorder="1" applyAlignment="1">
      <alignment vertical="center"/>
    </xf>
    <xf numFmtId="10" fontId="0" fillId="0" borderId="32" xfId="12" applyNumberFormat="1" applyFont="1" applyBorder="1" applyAlignment="1">
      <alignment vertical="center"/>
    </xf>
    <xf numFmtId="10" fontId="0" fillId="0" borderId="82" xfId="12" applyNumberFormat="1" applyFont="1" applyBorder="1" applyAlignment="1">
      <alignment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1" fillId="0" borderId="31" xfId="0" applyFont="1" applyBorder="1" applyAlignment="1">
      <alignment horizontal="center" vertical="center"/>
    </xf>
    <xf numFmtId="0" fontId="2" fillId="0" borderId="31" xfId="4" applyFont="1" applyBorder="1"/>
    <xf numFmtId="0" fontId="5" fillId="3" borderId="46" xfId="13" applyFont="1" applyFill="1" applyBorder="1" applyAlignment="1">
      <alignment horizontal="center" vertical="center" wrapText="1"/>
    </xf>
    <xf numFmtId="172" fontId="6" fillId="0" borderId="86" xfId="5" applyNumberFormat="1" applyFont="1" applyFill="1" applyBorder="1" applyAlignment="1">
      <alignment horizontal="center" vertical="center" wrapText="1"/>
    </xf>
    <xf numFmtId="0" fontId="5" fillId="3" borderId="44" xfId="13" applyFont="1" applyFill="1" applyBorder="1" applyAlignment="1">
      <alignment horizontal="center" vertical="center" wrapText="1"/>
    </xf>
    <xf numFmtId="0" fontId="7" fillId="0" borderId="87" xfId="0" applyFont="1" applyBorder="1" applyAlignment="1">
      <alignment horizontal="center" vertical="center"/>
    </xf>
    <xf numFmtId="167" fontId="8" fillId="0" borderId="43" xfId="4" applyNumberFormat="1" applyFont="1" applyFill="1" applyBorder="1" applyAlignment="1">
      <alignment horizontal="center" vertical="center"/>
    </xf>
    <xf numFmtId="0" fontId="7" fillId="0" borderId="88" xfId="0" applyFont="1" applyBorder="1" applyAlignment="1">
      <alignment horizontal="center" vertical="center"/>
    </xf>
    <xf numFmtId="167" fontId="8" fillId="0" borderId="89" xfId="9" applyNumberFormat="1" applyFont="1" applyFill="1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167" fontId="8" fillId="0" borderId="91" xfId="9" applyNumberFormat="1" applyFont="1" applyFill="1" applyBorder="1" applyAlignment="1">
      <alignment horizontal="center" vertical="center"/>
    </xf>
    <xf numFmtId="0" fontId="7" fillId="4" borderId="40" xfId="0" applyFont="1" applyFill="1" applyBorder="1" applyAlignment="1">
      <alignment horizontal="center" vertical="center"/>
    </xf>
    <xf numFmtId="167" fontId="8" fillId="4" borderId="41" xfId="9" applyNumberFormat="1" applyFont="1" applyFill="1" applyBorder="1" applyAlignment="1">
      <alignment horizontal="center" vertical="center"/>
    </xf>
    <xf numFmtId="0" fontId="23" fillId="10" borderId="9" xfId="13" applyFont="1" applyFill="1" applyBorder="1" applyAlignment="1">
      <alignment horizontal="center" vertical="center" wrapText="1"/>
    </xf>
    <xf numFmtId="0" fontId="23" fillId="10" borderId="9" xfId="13" applyFont="1" applyFill="1" applyBorder="1" applyAlignment="1">
      <alignment horizontal="left" vertical="center" wrapText="1"/>
    </xf>
    <xf numFmtId="173" fontId="23" fillId="10" borderId="9" xfId="3" applyNumberFormat="1" applyFont="1" applyFill="1" applyBorder="1" applyAlignment="1">
      <alignment horizontal="center" vertical="center" wrapText="1"/>
    </xf>
    <xf numFmtId="0" fontId="24" fillId="3" borderId="9" xfId="13" applyFont="1" applyFill="1" applyBorder="1" applyAlignment="1">
      <alignment horizontal="center" vertical="center" wrapText="1"/>
    </xf>
    <xf numFmtId="0" fontId="24" fillId="3" borderId="9" xfId="13" applyFont="1" applyFill="1" applyBorder="1" applyAlignment="1">
      <alignment horizontal="left" vertical="center" wrapText="1"/>
    </xf>
    <xf numFmtId="173" fontId="24" fillId="3" borderId="9" xfId="3" applyNumberFormat="1" applyFont="1" applyFill="1" applyBorder="1" applyAlignment="1">
      <alignment horizontal="center" vertical="center" wrapText="1"/>
    </xf>
    <xf numFmtId="2" fontId="24" fillId="3" borderId="9" xfId="3" applyNumberFormat="1" applyFont="1" applyFill="1" applyBorder="1" applyAlignment="1">
      <alignment horizontal="center" vertical="center" wrapText="1"/>
    </xf>
    <xf numFmtId="4" fontId="25" fillId="0" borderId="9" xfId="4" applyNumberFormat="1" applyFont="1" applyFill="1" applyBorder="1" applyAlignment="1">
      <alignment horizontal="right" vertical="center"/>
    </xf>
    <xf numFmtId="4" fontId="25" fillId="0" borderId="9" xfId="4" applyNumberFormat="1" applyFont="1" applyBorder="1" applyAlignment="1">
      <alignment horizontal="right" vertical="center"/>
    </xf>
    <xf numFmtId="4" fontId="25" fillId="8" borderId="9" xfId="4" applyNumberFormat="1" applyFont="1" applyFill="1" applyBorder="1" applyAlignment="1">
      <alignment horizontal="right" vertical="center"/>
    </xf>
    <xf numFmtId="4" fontId="26" fillId="11" borderId="9" xfId="4" applyNumberFormat="1" applyFont="1" applyFill="1" applyBorder="1" applyAlignment="1">
      <alignment horizontal="right" vertical="center"/>
    </xf>
    <xf numFmtId="0" fontId="24" fillId="12" borderId="9" xfId="13" applyFont="1" applyFill="1" applyBorder="1" applyAlignment="1">
      <alignment horizontal="center" vertical="center" wrapText="1"/>
    </xf>
    <xf numFmtId="4" fontId="24" fillId="3" borderId="9" xfId="13" applyNumberFormat="1" applyFont="1" applyFill="1" applyBorder="1" applyAlignment="1">
      <alignment horizontal="center" vertical="center" wrapText="1"/>
    </xf>
    <xf numFmtId="2" fontId="24" fillId="8" borderId="9" xfId="3" applyNumberFormat="1" applyFont="1" applyFill="1" applyBorder="1" applyAlignment="1">
      <alignment horizontal="center" vertical="center" wrapText="1"/>
    </xf>
    <xf numFmtId="10" fontId="0" fillId="0" borderId="0" xfId="2" applyNumberFormat="1" applyFont="1"/>
    <xf numFmtId="0" fontId="0" fillId="0" borderId="38" xfId="0" applyBorder="1" applyAlignment="1">
      <alignment horizontal="center"/>
    </xf>
    <xf numFmtId="0" fontId="0" fillId="0" borderId="51" xfId="0" applyBorder="1"/>
    <xf numFmtId="0" fontId="0" fillId="0" borderId="38" xfId="0" applyBorder="1"/>
    <xf numFmtId="165" fontId="24" fillId="3" borderId="9" xfId="13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vertical="center"/>
    </xf>
    <xf numFmtId="0" fontId="48" fillId="0" borderId="0" xfId="4"/>
    <xf numFmtId="0" fontId="0" fillId="0" borderId="31" xfId="4" applyFont="1" applyBorder="1"/>
    <xf numFmtId="0" fontId="0" fillId="0" borderId="0" xfId="4" applyFont="1" applyBorder="1"/>
    <xf numFmtId="4" fontId="0" fillId="0" borderId="0" xfId="4" applyNumberFormat="1" applyFont="1" applyBorder="1"/>
    <xf numFmtId="0" fontId="48" fillId="0" borderId="0" xfId="4" applyBorder="1" applyAlignment="1">
      <alignment vertical="center"/>
    </xf>
    <xf numFmtId="0" fontId="48" fillId="0" borderId="0" xfId="4" applyBorder="1"/>
    <xf numFmtId="0" fontId="2" fillId="0" borderId="31" xfId="0" applyFont="1" applyBorder="1" applyAlignment="1">
      <alignment horizontal="left"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/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31" xfId="4" applyFont="1" applyBorder="1" applyAlignment="1">
      <alignment vertical="top"/>
    </xf>
    <xf numFmtId="0" fontId="2" fillId="0" borderId="0" xfId="4" applyFont="1" applyBorder="1" applyAlignment="1">
      <alignment wrapText="1"/>
    </xf>
    <xf numFmtId="0" fontId="28" fillId="0" borderId="31" xfId="4" applyFont="1" applyBorder="1" applyAlignment="1">
      <alignment horizontal="center" vertical="center"/>
    </xf>
    <xf numFmtId="0" fontId="28" fillId="0" borderId="0" xfId="4" applyFont="1" applyBorder="1" applyAlignment="1">
      <alignment horizontal="center" vertical="center"/>
    </xf>
    <xf numFmtId="0" fontId="29" fillId="0" borderId="31" xfId="4" applyFont="1" applyBorder="1" applyAlignment="1">
      <alignment vertical="center"/>
    </xf>
    <xf numFmtId="0" fontId="29" fillId="0" borderId="0" xfId="4" applyFont="1" applyBorder="1" applyAlignment="1">
      <alignment vertical="center"/>
    </xf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29" fillId="0" borderId="31" xfId="4" applyFont="1" applyBorder="1"/>
    <xf numFmtId="0" fontId="29" fillId="0" borderId="0" xfId="4" applyFont="1" applyBorder="1"/>
    <xf numFmtId="2" fontId="30" fillId="8" borderId="0" xfId="4" applyNumberFormat="1" applyFont="1" applyFill="1" applyBorder="1"/>
    <xf numFmtId="2" fontId="29" fillId="8" borderId="0" xfId="4" applyNumberFormat="1" applyFont="1" applyFill="1" applyBorder="1"/>
    <xf numFmtId="2" fontId="30" fillId="0" borderId="93" xfId="4" applyNumberFormat="1" applyFont="1" applyBorder="1" applyAlignment="1">
      <alignment horizontal="center" vertical="center"/>
    </xf>
    <xf numFmtId="0" fontId="48" fillId="0" borderId="31" xfId="4" applyBorder="1"/>
    <xf numFmtId="2" fontId="29" fillId="0" borderId="0" xfId="4" applyNumberFormat="1" applyFont="1" applyBorder="1"/>
    <xf numFmtId="0" fontId="30" fillId="0" borderId="0" xfId="4" applyFont="1" applyBorder="1"/>
    <xf numFmtId="0" fontId="0" fillId="0" borderId="81" xfId="4" applyFont="1" applyBorder="1"/>
    <xf numFmtId="0" fontId="48" fillId="0" borderId="53" xfId="4" applyBorder="1"/>
    <xf numFmtId="0" fontId="0" fillId="0" borderId="53" xfId="4" applyFont="1" applyBorder="1"/>
    <xf numFmtId="0" fontId="48" fillId="0" borderId="32" xfId="4" applyBorder="1"/>
    <xf numFmtId="4" fontId="2" fillId="0" borderId="32" xfId="4" applyNumberFormat="1" applyFont="1" applyBorder="1"/>
    <xf numFmtId="0" fontId="48" fillId="0" borderId="82" xfId="4" applyBorder="1"/>
    <xf numFmtId="49" fontId="32" fillId="0" borderId="28" xfId="0" applyNumberFormat="1" applyFont="1" applyBorder="1" applyAlignment="1">
      <alignment vertical="top" wrapText="1"/>
    </xf>
    <xf numFmtId="49" fontId="32" fillId="0" borderId="31" xfId="0" applyNumberFormat="1" applyFont="1" applyBorder="1" applyAlignment="1">
      <alignment vertical="top" wrapText="1"/>
    </xf>
    <xf numFmtId="49" fontId="32" fillId="0" borderId="1" xfId="0" applyNumberFormat="1" applyFont="1" applyBorder="1" applyAlignment="1">
      <alignment vertical="top" wrapText="1"/>
    </xf>
    <xf numFmtId="0" fontId="0" fillId="0" borderId="0" xfId="0" applyFont="1" applyAlignment="1">
      <alignment vertical="center"/>
    </xf>
    <xf numFmtId="2" fontId="0" fillId="0" borderId="0" xfId="0" applyNumberFormat="1" applyAlignment="1">
      <alignment vertical="center"/>
    </xf>
    <xf numFmtId="0" fontId="2" fillId="0" borderId="9" xfId="4" applyFont="1" applyBorder="1" applyAlignment="1">
      <alignment horizontal="center" vertical="center"/>
    </xf>
    <xf numFmtId="0" fontId="2" fillId="0" borderId="9" xfId="4" applyFont="1" applyBorder="1" applyAlignment="1">
      <alignment vertical="center"/>
    </xf>
    <xf numFmtId="0" fontId="0" fillId="0" borderId="9" xfId="4" applyFont="1" applyBorder="1" applyAlignment="1">
      <alignment horizontal="center" vertical="center"/>
    </xf>
    <xf numFmtId="0" fontId="0" fillId="0" borderId="9" xfId="4" applyFont="1" applyBorder="1" applyAlignment="1">
      <alignment horizontal="left" vertical="center" wrapText="1"/>
    </xf>
    <xf numFmtId="169" fontId="0" fillId="8" borderId="9" xfId="1" applyFont="1" applyFill="1" applyBorder="1" applyAlignment="1">
      <alignment horizontal="right" vertical="center" wrapText="1"/>
    </xf>
    <xf numFmtId="4" fontId="0" fillId="8" borderId="9" xfId="4" applyNumberFormat="1" applyFont="1" applyFill="1" applyBorder="1" applyAlignment="1">
      <alignment horizontal="right" vertical="center"/>
    </xf>
    <xf numFmtId="0" fontId="2" fillId="0" borderId="9" xfId="4" applyFont="1" applyBorder="1" applyAlignment="1">
      <alignment horizontal="left" vertical="center" wrapText="1"/>
    </xf>
    <xf numFmtId="0" fontId="2" fillId="0" borderId="9" xfId="4" applyFont="1" applyBorder="1" applyAlignment="1">
      <alignment horizontal="left" vertical="center"/>
    </xf>
    <xf numFmtId="0" fontId="0" fillId="0" borderId="9" xfId="4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4" applyFont="1"/>
    <xf numFmtId="49" fontId="32" fillId="0" borderId="4" xfId="0" applyNumberFormat="1" applyFont="1" applyBorder="1" applyAlignment="1">
      <alignment vertical="top" wrapText="1"/>
    </xf>
    <xf numFmtId="49" fontId="15" fillId="0" borderId="4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169" fontId="16" fillId="8" borderId="9" xfId="1" applyFont="1" applyFill="1" applyBorder="1" applyAlignment="1">
      <alignment horizontal="center"/>
    </xf>
    <xf numFmtId="43" fontId="16" fillId="0" borderId="9" xfId="1" applyNumberFormat="1" applyFont="1" applyBorder="1" applyAlignment="1">
      <alignment horizontal="center" vertical="center"/>
    </xf>
    <xf numFmtId="43" fontId="0" fillId="0" borderId="0" xfId="0" applyNumberFormat="1"/>
    <xf numFmtId="0" fontId="1" fillId="0" borderId="9" xfId="0" applyFont="1" applyBorder="1" applyAlignment="1">
      <alignment horizontal="left" vertical="center"/>
    </xf>
    <xf numFmtId="169" fontId="0" fillId="0" borderId="9" xfId="1" applyFont="1" applyBorder="1" applyAlignment="1">
      <alignment horizontal="center"/>
    </xf>
    <xf numFmtId="10" fontId="1" fillId="4" borderId="9" xfId="2" applyNumberFormat="1" applyFont="1" applyFill="1" applyBorder="1" applyAlignment="1">
      <alignment horizontal="center"/>
    </xf>
    <xf numFmtId="43" fontId="16" fillId="0" borderId="41" xfId="1" applyNumberFormat="1" applyFont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169" fontId="0" fillId="8" borderId="13" xfId="1" applyFont="1" applyFill="1" applyBorder="1" applyAlignment="1"/>
    <xf numFmtId="49" fontId="1" fillId="0" borderId="9" xfId="0" applyNumberFormat="1" applyFont="1" applyBorder="1" applyAlignment="1">
      <alignment horizontal="center" vertical="center"/>
    </xf>
    <xf numFmtId="4" fontId="1" fillId="0" borderId="9" xfId="0" applyNumberFormat="1" applyFont="1" applyBorder="1" applyAlignment="1">
      <alignment horizontal="left" vertical="center"/>
    </xf>
    <xf numFmtId="43" fontId="1" fillId="0" borderId="9" xfId="0" applyNumberFormat="1" applyFont="1" applyBorder="1" applyAlignment="1">
      <alignment horizontal="center"/>
    </xf>
    <xf numFmtId="43" fontId="1" fillId="0" borderId="9" xfId="0" applyNumberFormat="1" applyFont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/>
    </xf>
    <xf numFmtId="0" fontId="1" fillId="0" borderId="9" xfId="0" applyFont="1" applyBorder="1"/>
    <xf numFmtId="10" fontId="0" fillId="0" borderId="0" xfId="0" applyNumberFormat="1"/>
    <xf numFmtId="43" fontId="16" fillId="0" borderId="9" xfId="0" applyNumberFormat="1" applyFont="1" applyBorder="1" applyAlignment="1">
      <alignment horizontal="center"/>
    </xf>
    <xf numFmtId="169" fontId="0" fillId="8" borderId="26" xfId="1" applyFont="1" applyFill="1" applyBorder="1" applyAlignment="1"/>
    <xf numFmtId="0" fontId="0" fillId="0" borderId="26" xfId="0" applyBorder="1"/>
    <xf numFmtId="169" fontId="0" fillId="8" borderId="9" xfId="1" applyFont="1" applyFill="1" applyBorder="1" applyAlignment="1">
      <alignment horizontal="center"/>
    </xf>
    <xf numFmtId="10" fontId="1" fillId="4" borderId="41" xfId="2" applyNumberFormat="1" applyFont="1" applyFill="1" applyBorder="1" applyAlignment="1">
      <alignment horizontal="center"/>
    </xf>
    <xf numFmtId="4" fontId="0" fillId="0" borderId="0" xfId="4" applyNumberFormat="1" applyFont="1"/>
    <xf numFmtId="164" fontId="0" fillId="0" borderId="0" xfId="4" applyNumberFormat="1" applyFont="1"/>
    <xf numFmtId="164" fontId="0" fillId="0" borderId="0" xfId="4" applyNumberFormat="1" applyFont="1" applyAlignment="1">
      <alignment horizontal="right"/>
    </xf>
    <xf numFmtId="49" fontId="32" fillId="0" borderId="0" xfId="0" applyNumberFormat="1" applyFont="1" applyBorder="1" applyAlignment="1">
      <alignment vertical="top" wrapText="1"/>
    </xf>
    <xf numFmtId="0" fontId="2" fillId="0" borderId="0" xfId="0" applyFont="1" applyBorder="1" applyAlignment="1">
      <alignment horizontal="left" vertical="top"/>
    </xf>
    <xf numFmtId="164" fontId="0" fillId="0" borderId="0" xfId="0" applyNumberFormat="1" applyBorder="1" applyAlignment="1">
      <alignment vertical="center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164" fontId="2" fillId="0" borderId="0" xfId="0" applyNumberFormat="1" applyFont="1" applyBorder="1" applyAlignment="1">
      <alignment vertical="top"/>
    </xf>
    <xf numFmtId="10" fontId="2" fillId="0" borderId="0" xfId="0" applyNumberFormat="1" applyFont="1" applyBorder="1" applyAlignment="1">
      <alignment horizontal="left" wrapText="1"/>
    </xf>
    <xf numFmtId="0" fontId="1" fillId="0" borderId="0" xfId="4" applyNumberFormat="1" applyFont="1" applyBorder="1" applyAlignment="1">
      <alignment horizontal="justify" vertical="center" wrapText="1"/>
    </xf>
    <xf numFmtId="164" fontId="1" fillId="0" borderId="0" xfId="4" applyNumberFormat="1" applyFont="1" applyBorder="1" applyAlignment="1">
      <alignment horizontal="justify" vertical="center" wrapText="1"/>
    </xf>
    <xf numFmtId="0" fontId="2" fillId="14" borderId="33" xfId="4" applyFont="1" applyFill="1" applyBorder="1" applyAlignment="1">
      <alignment horizontal="center" vertical="center" wrapText="1"/>
    </xf>
    <xf numFmtId="0" fontId="2" fillId="14" borderId="25" xfId="4" applyFont="1" applyFill="1" applyBorder="1" applyAlignment="1">
      <alignment horizontal="center" vertical="center" wrapText="1"/>
    </xf>
    <xf numFmtId="0" fontId="2" fillId="14" borderId="25" xfId="4" applyFont="1" applyFill="1" applyBorder="1" applyAlignment="1">
      <alignment vertical="center" wrapText="1"/>
    </xf>
    <xf numFmtId="0" fontId="2" fillId="14" borderId="9" xfId="4" applyFont="1" applyFill="1" applyBorder="1" applyAlignment="1">
      <alignment horizontal="center" vertical="center" wrapText="1"/>
    </xf>
    <xf numFmtId="4" fontId="2" fillId="14" borderId="9" xfId="4" applyNumberFormat="1" applyFont="1" applyFill="1" applyBorder="1" applyAlignment="1">
      <alignment horizontal="center" vertical="center" wrapText="1"/>
    </xf>
    <xf numFmtId="164" fontId="2" fillId="14" borderId="9" xfId="4" applyNumberFormat="1" applyFont="1" applyFill="1" applyBorder="1" applyAlignment="1">
      <alignment horizontal="center" vertical="center" wrapText="1"/>
    </xf>
    <xf numFmtId="0" fontId="0" fillId="0" borderId="33" xfId="4" applyFont="1" applyBorder="1" applyAlignment="1">
      <alignment horizontal="center" vertical="center"/>
    </xf>
    <xf numFmtId="0" fontId="0" fillId="0" borderId="27" xfId="4" applyFont="1" applyBorder="1" applyAlignment="1">
      <alignment horizontal="center" vertical="center"/>
    </xf>
    <xf numFmtId="0" fontId="40" fillId="8" borderId="9" xfId="4" applyFont="1" applyFill="1" applyBorder="1" applyAlignment="1">
      <alignment horizontal="center" vertical="center"/>
    </xf>
    <xf numFmtId="10" fontId="0" fillId="8" borderId="9" xfId="1" applyNumberFormat="1" applyFont="1" applyFill="1" applyBorder="1" applyAlignment="1">
      <alignment horizontal="center" vertical="center"/>
    </xf>
    <xf numFmtId="164" fontId="0" fillId="8" borderId="9" xfId="4" applyNumberFormat="1" applyFont="1" applyFill="1" applyBorder="1" applyAlignment="1">
      <alignment horizontal="right" vertical="center"/>
    </xf>
    <xf numFmtId="169" fontId="0" fillId="8" borderId="9" xfId="1" applyFont="1" applyFill="1" applyBorder="1" applyAlignment="1">
      <alignment horizontal="center" vertical="center"/>
    </xf>
    <xf numFmtId="0" fontId="0" fillId="0" borderId="9" xfId="4" applyFont="1" applyBorder="1" applyAlignment="1">
      <alignment horizontal="left" vertical="center"/>
    </xf>
    <xf numFmtId="0" fontId="41" fillId="8" borderId="31" xfId="4" applyFont="1" applyFill="1" applyBorder="1" applyAlignment="1">
      <alignment horizontal="center" vertical="center"/>
    </xf>
    <xf numFmtId="0" fontId="41" fillId="8" borderId="0" xfId="4" applyFont="1" applyFill="1" applyBorder="1" applyAlignment="1">
      <alignment horizontal="center" vertical="center"/>
    </xf>
    <xf numFmtId="0" fontId="41" fillId="8" borderId="2" xfId="4" applyFont="1" applyFill="1" applyBorder="1" applyAlignment="1">
      <alignment horizontal="center" vertical="center"/>
    </xf>
    <xf numFmtId="164" fontId="41" fillId="8" borderId="2" xfId="4" applyNumberFormat="1" applyFont="1" applyFill="1" applyBorder="1" applyAlignment="1">
      <alignment horizontal="center" vertical="center"/>
    </xf>
    <xf numFmtId="164" fontId="0" fillId="0" borderId="0" xfId="0" applyNumberFormat="1" applyBorder="1"/>
    <xf numFmtId="164" fontId="2" fillId="0" borderId="0" xfId="0" applyNumberFormat="1" applyFont="1" applyBorder="1" applyAlignment="1">
      <alignment wrapText="1"/>
    </xf>
    <xf numFmtId="164" fontId="2" fillId="14" borderId="25" xfId="4" applyNumberFormat="1" applyFont="1" applyFill="1" applyBorder="1" applyAlignment="1">
      <alignment horizontal="center" vertical="center" wrapText="1"/>
    </xf>
    <xf numFmtId="164" fontId="0" fillId="0" borderId="25" xfId="4" applyNumberFormat="1" applyFont="1" applyBorder="1" applyAlignment="1">
      <alignment horizontal="right" vertical="center"/>
    </xf>
    <xf numFmtId="10" fontId="0" fillId="0" borderId="0" xfId="4" applyNumberFormat="1" applyFont="1"/>
    <xf numFmtId="164" fontId="0" fillId="0" borderId="41" xfId="4" applyNumberFormat="1" applyFont="1" applyBorder="1" applyAlignment="1">
      <alignment horizontal="right" vertical="center"/>
    </xf>
    <xf numFmtId="164" fontId="44" fillId="4" borderId="25" xfId="4" applyNumberFormat="1" applyFont="1" applyFill="1" applyBorder="1" applyAlignment="1">
      <alignment horizontal="right" vertical="center"/>
    </xf>
    <xf numFmtId="49" fontId="32" fillId="0" borderId="29" xfId="0" applyNumberFormat="1" applyFont="1" applyBorder="1" applyAlignment="1">
      <alignment vertical="top" wrapText="1"/>
    </xf>
    <xf numFmtId="0" fontId="2" fillId="0" borderId="31" xfId="0" applyFont="1" applyBorder="1" applyAlignment="1">
      <alignment vertical="top"/>
    </xf>
    <xf numFmtId="10" fontId="2" fillId="0" borderId="0" xfId="2" applyNumberFormat="1" applyFont="1" applyBorder="1" applyAlignment="1">
      <alignment horizontal="left" wrapText="1"/>
    </xf>
    <xf numFmtId="0" fontId="2" fillId="0" borderId="33" xfId="4" applyFont="1" applyBorder="1" applyAlignment="1">
      <alignment horizontal="center" vertical="center"/>
    </xf>
    <xf numFmtId="0" fontId="2" fillId="0" borderId="26" xfId="4" applyFont="1" applyBorder="1" applyAlignment="1">
      <alignment vertical="center"/>
    </xf>
    <xf numFmtId="0" fontId="2" fillId="0" borderId="25" xfId="4" applyFont="1" applyBorder="1" applyAlignment="1">
      <alignment vertical="center"/>
    </xf>
    <xf numFmtId="0" fontId="2" fillId="0" borderId="27" xfId="4" applyFont="1" applyBorder="1" applyAlignment="1">
      <alignment vertical="center"/>
    </xf>
    <xf numFmtId="0" fontId="0" fillId="0" borderId="0" xfId="4" applyFont="1" applyAlignment="1">
      <alignment horizontal="center" vertical="center"/>
    </xf>
    <xf numFmtId="0" fontId="0" fillId="0" borderId="25" xfId="4" applyFont="1" applyBorder="1" applyAlignment="1">
      <alignment horizontal="center" vertical="center"/>
    </xf>
    <xf numFmtId="10" fontId="43" fillId="0" borderId="41" xfId="2" applyNumberFormat="1" applyFont="1" applyBorder="1" applyAlignment="1">
      <alignment horizontal="center" vertical="center"/>
    </xf>
    <xf numFmtId="4" fontId="2" fillId="14" borderId="41" xfId="4" applyNumberFormat="1" applyFont="1" applyFill="1" applyBorder="1" applyAlignment="1">
      <alignment horizontal="center" vertical="center" wrapText="1"/>
    </xf>
    <xf numFmtId="4" fontId="44" fillId="4" borderId="41" xfId="4" applyNumberFormat="1" applyFont="1" applyFill="1" applyBorder="1" applyAlignment="1">
      <alignment horizontal="right" vertical="center"/>
    </xf>
    <xf numFmtId="164" fontId="44" fillId="4" borderId="41" xfId="4" applyNumberFormat="1" applyFont="1" applyFill="1" applyBorder="1" applyAlignment="1">
      <alignment horizontal="right" vertical="center"/>
    </xf>
    <xf numFmtId="164" fontId="44" fillId="16" borderId="25" xfId="4" applyNumberFormat="1" applyFont="1" applyFill="1" applyBorder="1" applyAlignment="1">
      <alignment horizontal="right" vertical="center"/>
    </xf>
    <xf numFmtId="164" fontId="44" fillId="16" borderId="41" xfId="4" applyNumberFormat="1" applyFont="1" applyFill="1" applyBorder="1" applyAlignment="1">
      <alignment horizontal="right" vertical="center"/>
    </xf>
    <xf numFmtId="174" fontId="0" fillId="0" borderId="0" xfId="4" applyNumberFormat="1" applyFont="1"/>
    <xf numFmtId="0" fontId="2" fillId="0" borderId="27" xfId="4" applyFont="1" applyBorder="1" applyAlignment="1">
      <alignment horizontal="center" vertical="center"/>
    </xf>
    <xf numFmtId="0" fontId="0" fillId="0" borderId="9" xfId="4" applyFont="1" applyBorder="1"/>
    <xf numFmtId="164" fontId="1" fillId="15" borderId="49" xfId="4" applyNumberFormat="1" applyFont="1" applyFill="1" applyBorder="1" applyAlignment="1">
      <alignment horizontal="right" vertical="center"/>
    </xf>
    <xf numFmtId="164" fontId="1" fillId="15" borderId="50" xfId="4" applyNumberFormat="1" applyFont="1" applyFill="1" applyBorder="1" applyAlignment="1">
      <alignment horizontal="right" vertical="center"/>
    </xf>
    <xf numFmtId="171" fontId="6" fillId="8" borderId="16" xfId="5" applyNumberFormat="1" applyFont="1" applyFill="1" applyBorder="1" applyAlignment="1">
      <alignment horizontal="center" vertical="center" wrapText="1"/>
    </xf>
    <xf numFmtId="170" fontId="38" fillId="8" borderId="9" xfId="0" applyNumberFormat="1" applyFont="1" applyFill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10" fontId="49" fillId="9" borderId="41" xfId="12" applyNumberFormat="1" applyFont="1" applyFill="1" applyBorder="1" applyAlignment="1" applyProtection="1">
      <alignment horizontal="center" vertical="center"/>
      <protection locked="0"/>
    </xf>
    <xf numFmtId="164" fontId="41" fillId="8" borderId="2" xfId="4" applyNumberFormat="1" applyFont="1" applyFill="1" applyBorder="1" applyAlignment="1">
      <alignment horizontal="center" vertical="center"/>
    </xf>
    <xf numFmtId="164" fontId="41" fillId="8" borderId="36" xfId="4" applyNumberFormat="1" applyFont="1" applyFill="1" applyBorder="1" applyAlignment="1">
      <alignment horizontal="center" vertical="center"/>
    </xf>
    <xf numFmtId="0" fontId="0" fillId="0" borderId="81" xfId="4" applyFont="1" applyBorder="1" applyAlignment="1">
      <alignment horizontal="center" vertical="center"/>
    </xf>
    <xf numFmtId="0" fontId="0" fillId="0" borderId="53" xfId="4" applyFont="1" applyBorder="1" applyAlignment="1">
      <alignment horizontal="center" vertical="center"/>
    </xf>
    <xf numFmtId="0" fontId="0" fillId="0" borderId="74" xfId="4" applyFont="1" applyBorder="1" applyAlignment="1">
      <alignment horizontal="center" vertical="center"/>
    </xf>
    <xf numFmtId="4" fontId="1" fillId="0" borderId="49" xfId="4" applyNumberFormat="1" applyFont="1" applyBorder="1" applyAlignment="1">
      <alignment horizontal="center" vertical="center"/>
    </xf>
    <xf numFmtId="164" fontId="1" fillId="0" borderId="49" xfId="4" applyNumberFormat="1" applyFont="1" applyBorder="1" applyAlignment="1">
      <alignment horizontal="center" vertical="center"/>
    </xf>
    <xf numFmtId="49" fontId="42" fillId="0" borderId="84" xfId="0" applyNumberFormat="1" applyFont="1" applyBorder="1" applyAlignment="1">
      <alignment horizontal="center" vertical="center" wrapText="1"/>
    </xf>
    <xf numFmtId="49" fontId="42" fillId="0" borderId="41" xfId="0" applyNumberFormat="1" applyFont="1" applyBorder="1" applyAlignment="1">
      <alignment horizontal="center" vertical="center" wrapText="1"/>
    </xf>
    <xf numFmtId="0" fontId="0" fillId="0" borderId="40" xfId="4" applyFont="1" applyBorder="1" applyAlignment="1">
      <alignment horizontal="center" vertical="center"/>
    </xf>
    <xf numFmtId="0" fontId="0" fillId="0" borderId="26" xfId="4" applyFont="1" applyBorder="1" applyAlignment="1">
      <alignment horizontal="center" vertical="center"/>
    </xf>
    <xf numFmtId="0" fontId="0" fillId="0" borderId="27" xfId="4" applyFont="1" applyBorder="1" applyAlignment="1">
      <alignment horizontal="center" vertical="center"/>
    </xf>
    <xf numFmtId="4" fontId="3" fillId="0" borderId="9" xfId="4" applyNumberFormat="1" applyFont="1" applyFill="1" applyBorder="1" applyAlignment="1">
      <alignment horizontal="center" vertical="center"/>
    </xf>
    <xf numFmtId="164" fontId="3" fillId="0" borderId="9" xfId="4" applyNumberFormat="1" applyFont="1" applyFill="1" applyBorder="1" applyAlignment="1">
      <alignment horizontal="center" vertical="center"/>
    </xf>
    <xf numFmtId="0" fontId="41" fillId="0" borderId="25" xfId="4" applyFont="1" applyFill="1" applyBorder="1" applyAlignment="1">
      <alignment horizontal="center" vertical="center"/>
    </xf>
    <xf numFmtId="0" fontId="41" fillId="0" borderId="26" xfId="4" applyFont="1" applyFill="1" applyBorder="1" applyAlignment="1">
      <alignment horizontal="center" vertical="center"/>
    </xf>
    <xf numFmtId="0" fontId="41" fillId="0" borderId="34" xfId="4" applyFont="1" applyFill="1" applyBorder="1" applyAlignment="1">
      <alignment horizontal="center" vertical="center"/>
    </xf>
    <xf numFmtId="0" fontId="41" fillId="0" borderId="35" xfId="4" applyFont="1" applyBorder="1" applyAlignment="1">
      <alignment horizontal="center" vertical="center"/>
    </xf>
    <xf numFmtId="0" fontId="41" fillId="0" borderId="2" xfId="4" applyFont="1" applyBorder="1" applyAlignment="1">
      <alignment horizontal="center" vertical="center"/>
    </xf>
    <xf numFmtId="0" fontId="41" fillId="0" borderId="3" xfId="4" applyFont="1" applyBorder="1" applyAlignment="1">
      <alignment horizontal="center" vertical="center"/>
    </xf>
    <xf numFmtId="0" fontId="0" fillId="0" borderId="25" xfId="4" applyFont="1" applyFill="1" applyBorder="1" applyAlignment="1">
      <alignment horizontal="center" vertical="center"/>
    </xf>
    <xf numFmtId="0" fontId="0" fillId="0" borderId="26" xfId="4" applyFont="1" applyFill="1" applyBorder="1" applyAlignment="1">
      <alignment horizontal="center" vertical="center"/>
    </xf>
    <xf numFmtId="0" fontId="0" fillId="0" borderId="34" xfId="4" applyFont="1" applyFill="1" applyBorder="1" applyAlignment="1">
      <alignment horizontal="center" vertical="center"/>
    </xf>
    <xf numFmtId="0" fontId="0" fillId="0" borderId="33" xfId="4" applyFont="1" applyBorder="1" applyAlignment="1">
      <alignment horizontal="center" vertical="center"/>
    </xf>
    <xf numFmtId="0" fontId="0" fillId="0" borderId="9" xfId="4" applyFont="1" applyBorder="1" applyAlignment="1">
      <alignment horizontal="center" vertical="center"/>
    </xf>
    <xf numFmtId="0" fontId="2" fillId="0" borderId="0" xfId="0" applyFont="1" applyBorder="1" applyAlignment="1">
      <alignment horizontal="left" wrapText="1"/>
    </xf>
    <xf numFmtId="0" fontId="35" fillId="0" borderId="40" xfId="4" applyFont="1" applyBorder="1" applyAlignment="1">
      <alignment horizontal="center" vertical="center"/>
    </xf>
    <xf numFmtId="0" fontId="35" fillId="0" borderId="26" xfId="4" applyFont="1" applyBorder="1" applyAlignment="1">
      <alignment horizontal="center" vertical="center"/>
    </xf>
    <xf numFmtId="164" fontId="35" fillId="0" borderId="26" xfId="4" applyNumberFormat="1" applyFont="1" applyBorder="1" applyAlignment="1">
      <alignment horizontal="center" vertical="center"/>
    </xf>
    <xf numFmtId="49" fontId="39" fillId="0" borderId="29" xfId="0" applyNumberFormat="1" applyFont="1" applyBorder="1" applyAlignment="1">
      <alignment horizontal="left" vertical="top" wrapText="1"/>
    </xf>
    <xf numFmtId="164" fontId="39" fillId="0" borderId="29" xfId="0" applyNumberFormat="1" applyFont="1" applyBorder="1" applyAlignment="1">
      <alignment horizontal="left" vertical="top" wrapText="1"/>
    </xf>
    <xf numFmtId="49" fontId="39" fillId="0" borderId="0" xfId="0" applyNumberFormat="1" applyFont="1" applyBorder="1" applyAlignment="1">
      <alignment horizontal="left" vertical="top" wrapText="1"/>
    </xf>
    <xf numFmtId="164" fontId="39" fillId="0" borderId="0" xfId="0" applyNumberFormat="1" applyFont="1" applyBorder="1" applyAlignment="1">
      <alignment horizontal="left" vertical="top" wrapText="1"/>
    </xf>
    <xf numFmtId="0" fontId="2" fillId="0" borderId="9" xfId="0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43" fontId="1" fillId="0" borderId="13" xfId="0" applyNumberFormat="1" applyFont="1" applyBorder="1" applyAlignment="1">
      <alignment horizontal="center"/>
    </xf>
    <xf numFmtId="43" fontId="1" fillId="0" borderId="16" xfId="0" applyNumberFormat="1" applyFont="1" applyBorder="1" applyAlignment="1">
      <alignment horizontal="center"/>
    </xf>
    <xf numFmtId="43" fontId="1" fillId="0" borderId="14" xfId="0" applyNumberFormat="1" applyFont="1" applyBorder="1" applyAlignment="1">
      <alignment horizontal="center"/>
    </xf>
    <xf numFmtId="0" fontId="1" fillId="13" borderId="9" xfId="0" applyFont="1" applyFill="1" applyBorder="1" applyAlignment="1">
      <alignment horizontal="center" vertical="center"/>
    </xf>
    <xf numFmtId="49" fontId="34" fillId="0" borderId="0" xfId="0" applyNumberFormat="1" applyFont="1" applyBorder="1" applyAlignment="1">
      <alignment horizontal="left" vertical="top" wrapText="1"/>
    </xf>
    <xf numFmtId="49" fontId="34" fillId="0" borderId="0" xfId="0" applyNumberFormat="1" applyFont="1" applyBorder="1" applyAlignment="1">
      <alignment horizontal="center" vertical="top" wrapText="1"/>
    </xf>
    <xf numFmtId="0" fontId="2" fillId="0" borderId="4" xfId="4" applyFont="1" applyBorder="1" applyAlignment="1">
      <alignment horizontal="center" vertical="top" wrapText="1"/>
    </xf>
    <xf numFmtId="0" fontId="2" fillId="0" borderId="0" xfId="4" applyFont="1" applyBorder="1" applyAlignment="1">
      <alignment horizontal="center" vertical="top" wrapText="1"/>
    </xf>
    <xf numFmtId="0" fontId="14" fillId="13" borderId="4" xfId="0" applyFont="1" applyFill="1" applyBorder="1" applyAlignment="1">
      <alignment horizontal="center" vertical="center"/>
    </xf>
    <xf numFmtId="0" fontId="14" fillId="13" borderId="0" xfId="0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9" xfId="4" applyFont="1" applyFill="1" applyBorder="1" applyAlignment="1">
      <alignment horizontal="center" vertical="center"/>
    </xf>
    <xf numFmtId="0" fontId="37" fillId="9" borderId="9" xfId="4" applyFont="1" applyFill="1" applyBorder="1" applyAlignment="1">
      <alignment horizontal="center" vertical="center"/>
    </xf>
    <xf numFmtId="49" fontId="33" fillId="0" borderId="29" xfId="0" applyNumberFormat="1" applyFont="1" applyBorder="1" applyAlignment="1">
      <alignment horizontal="center" vertical="top" wrapText="1"/>
    </xf>
    <xf numFmtId="49" fontId="33" fillId="0" borderId="30" xfId="0" applyNumberFormat="1" applyFont="1" applyBorder="1" applyAlignment="1">
      <alignment horizontal="center" vertical="top" wrapText="1"/>
    </xf>
    <xf numFmtId="49" fontId="33" fillId="0" borderId="0" xfId="0" applyNumberFormat="1" applyFont="1" applyBorder="1" applyAlignment="1">
      <alignment horizontal="center" vertical="top" wrapText="1"/>
    </xf>
    <xf numFmtId="49" fontId="33" fillId="0" borderId="32" xfId="0" applyNumberFormat="1" applyFont="1" applyBorder="1" applyAlignment="1">
      <alignment horizontal="center" vertical="top" wrapText="1"/>
    </xf>
    <xf numFmtId="0" fontId="36" fillId="9" borderId="92" xfId="4" applyFont="1" applyFill="1" applyBorder="1" applyAlignment="1">
      <alignment horizontal="center" vertical="center"/>
    </xf>
    <xf numFmtId="0" fontId="14" fillId="0" borderId="31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32" xfId="0" applyFont="1" applyBorder="1" applyAlignment="1">
      <alignment horizontal="center"/>
    </xf>
    <xf numFmtId="4" fontId="1" fillId="0" borderId="54" xfId="4" applyNumberFormat="1" applyFont="1" applyBorder="1" applyAlignment="1">
      <alignment horizontal="center" vertical="center"/>
    </xf>
    <xf numFmtId="4" fontId="1" fillId="0" borderId="56" xfId="4" applyNumberFormat="1" applyFont="1" applyBorder="1" applyAlignment="1">
      <alignment horizontal="center" vertical="center"/>
    </xf>
    <xf numFmtId="0" fontId="27" fillId="0" borderId="31" xfId="4" applyFont="1" applyBorder="1" applyAlignment="1">
      <alignment horizontal="center" vertical="center" wrapText="1"/>
    </xf>
    <xf numFmtId="0" fontId="27" fillId="0" borderId="0" xfId="4" applyFont="1" applyBorder="1" applyAlignment="1">
      <alignment horizontal="center" vertical="center" wrapText="1"/>
    </xf>
    <xf numFmtId="0" fontId="27" fillId="0" borderId="32" xfId="4" applyFont="1" applyBorder="1" applyAlignment="1">
      <alignment horizontal="center" vertical="center" wrapText="1"/>
    </xf>
    <xf numFmtId="0" fontId="0" fillId="0" borderId="31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32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0" borderId="0" xfId="4" applyFont="1" applyBorder="1" applyAlignment="1">
      <alignment horizontal="center" wrapText="1"/>
    </xf>
    <xf numFmtId="0" fontId="25" fillId="0" borderId="25" xfId="4" applyFont="1" applyBorder="1" applyAlignment="1">
      <alignment horizontal="right" vertical="center"/>
    </xf>
    <xf numFmtId="0" fontId="25" fillId="0" borderId="26" xfId="4" applyFont="1" applyBorder="1" applyAlignment="1">
      <alignment horizontal="right" vertical="center"/>
    </xf>
    <xf numFmtId="0" fontId="25" fillId="0" borderId="27" xfId="4" applyFont="1" applyBorder="1" applyAlignment="1">
      <alignment horizontal="right" vertical="center"/>
    </xf>
    <xf numFmtId="10" fontId="25" fillId="0" borderId="25" xfId="4" applyNumberFormat="1" applyFont="1" applyBorder="1" applyAlignment="1">
      <alignment horizontal="right" vertical="center"/>
    </xf>
    <xf numFmtId="0" fontId="0" fillId="0" borderId="51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52" xfId="0" applyBorder="1" applyAlignment="1">
      <alignment horizontal="center"/>
    </xf>
    <xf numFmtId="0" fontId="3" fillId="0" borderId="6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171" fontId="4" fillId="2" borderId="13" xfId="5" applyNumberFormat="1" applyFont="1" applyFill="1" applyBorder="1" applyAlignment="1">
      <alignment horizontal="center" vertical="center" wrapText="1"/>
    </xf>
    <xf numFmtId="171" fontId="4" fillId="2" borderId="14" xfId="5" applyNumberFormat="1" applyFont="1" applyFill="1" applyBorder="1" applyAlignment="1">
      <alignment horizontal="center" vertical="center" wrapText="1"/>
    </xf>
    <xf numFmtId="171" fontId="4" fillId="2" borderId="75" xfId="5" applyNumberFormat="1" applyFont="1" applyFill="1" applyBorder="1" applyAlignment="1">
      <alignment horizontal="center" vertical="center" wrapText="1"/>
    </xf>
    <xf numFmtId="171" fontId="4" fillId="2" borderId="77" xfId="5" applyNumberFormat="1" applyFont="1" applyFill="1" applyBorder="1" applyAlignment="1">
      <alignment horizontal="center" vertical="center" wrapText="1"/>
    </xf>
    <xf numFmtId="0" fontId="4" fillId="2" borderId="13" xfId="13" applyFont="1" applyFill="1" applyBorder="1" applyAlignment="1">
      <alignment horizontal="center" vertical="center" wrapText="1"/>
    </xf>
    <xf numFmtId="0" fontId="4" fillId="2" borderId="14" xfId="13" applyFont="1" applyFill="1" applyBorder="1" applyAlignment="1">
      <alignment horizontal="center" vertical="center" wrapText="1"/>
    </xf>
    <xf numFmtId="0" fontId="8" fillId="4" borderId="26" xfId="9" applyFont="1" applyFill="1" applyBorder="1" applyAlignment="1">
      <alignment horizontal="right" vertical="center"/>
    </xf>
    <xf numFmtId="0" fontId="8" fillId="4" borderId="27" xfId="9" applyFont="1" applyFill="1" applyBorder="1" applyAlignment="1">
      <alignment horizontal="right" vertical="center"/>
    </xf>
    <xf numFmtId="0" fontId="8" fillId="0" borderId="18" xfId="4" applyFont="1" applyBorder="1" applyAlignment="1">
      <alignment horizontal="right" vertical="center"/>
    </xf>
    <xf numFmtId="0" fontId="8" fillId="0" borderId="19" xfId="4" applyFont="1" applyBorder="1" applyAlignment="1">
      <alignment horizontal="right" vertical="center"/>
    </xf>
    <xf numFmtId="0" fontId="4" fillId="2" borderId="14" xfId="13" applyFont="1" applyFill="1" applyBorder="1" applyAlignment="1">
      <alignment horizontal="justify" vertical="center" wrapText="1"/>
    </xf>
    <xf numFmtId="0" fontId="4" fillId="2" borderId="13" xfId="13" applyFont="1" applyFill="1" applyBorder="1" applyAlignment="1">
      <alignment horizontal="justify" vertical="center" wrapText="1"/>
    </xf>
    <xf numFmtId="0" fontId="4" fillId="2" borderId="13" xfId="13" applyFont="1" applyFill="1" applyBorder="1" applyAlignment="1">
      <alignment horizontal="left" vertical="center" wrapText="1"/>
    </xf>
    <xf numFmtId="0" fontId="4" fillId="2" borderId="14" xfId="13" applyFont="1" applyFill="1" applyBorder="1" applyAlignment="1">
      <alignment horizontal="left" vertical="center" wrapText="1"/>
    </xf>
    <xf numFmtId="0" fontId="4" fillId="2" borderId="72" xfId="13" applyFont="1" applyFill="1" applyBorder="1" applyAlignment="1">
      <alignment horizontal="center" vertical="center" wrapText="1"/>
    </xf>
    <xf numFmtId="0" fontId="4" fillId="2" borderId="76" xfId="13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0" fillId="0" borderId="29" xfId="0" applyFont="1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1" fillId="0" borderId="31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10" fontId="3" fillId="0" borderId="9" xfId="0" applyNumberFormat="1" applyFont="1" applyBorder="1" applyAlignment="1">
      <alignment horizontal="center" vertical="center"/>
    </xf>
    <xf numFmtId="10" fontId="3" fillId="0" borderId="41" xfId="0" applyNumberFormat="1" applyFont="1" applyBorder="1" applyAlignment="1">
      <alignment horizontal="center" vertical="center"/>
    </xf>
    <xf numFmtId="10" fontId="22" fillId="7" borderId="13" xfId="11" applyNumberFormat="1" applyFont="1" applyFill="1" applyBorder="1" applyAlignment="1">
      <alignment horizontal="center" vertical="center"/>
    </xf>
    <xf numFmtId="10" fontId="22" fillId="7" borderId="61" xfId="11" applyNumberFormat="1" applyFont="1" applyFill="1" applyBorder="1" applyAlignment="1">
      <alignment horizontal="center" vertical="center"/>
    </xf>
    <xf numFmtId="10" fontId="19" fillId="0" borderId="72" xfId="12" applyNumberFormat="1" applyFont="1" applyBorder="1" applyAlignment="1">
      <alignment horizontal="center" vertical="center" wrapText="1"/>
    </xf>
    <xf numFmtId="10" fontId="19" fillId="0" borderId="60" xfId="12" applyNumberFormat="1" applyFont="1" applyBorder="1" applyAlignment="1">
      <alignment horizontal="center" vertical="center" wrapText="1"/>
    </xf>
    <xf numFmtId="0" fontId="20" fillId="0" borderId="75" xfId="11" applyFont="1" applyBorder="1" applyAlignment="1">
      <alignment horizontal="center" vertical="center" wrapText="1"/>
    </xf>
    <xf numFmtId="0" fontId="20" fillId="0" borderId="62" xfId="11" applyFont="1" applyBorder="1" applyAlignment="1">
      <alignment horizontal="center" vertical="center" wrapText="1"/>
    </xf>
    <xf numFmtId="49" fontId="13" fillId="7" borderId="28" xfId="11" applyNumberFormat="1" applyFont="1" applyFill="1" applyBorder="1" applyAlignment="1">
      <alignment horizontal="center" vertical="center" wrapText="1"/>
    </xf>
    <xf numFmtId="49" fontId="13" fillId="7" borderId="29" xfId="11" applyNumberFormat="1" applyFont="1" applyFill="1" applyBorder="1" applyAlignment="1">
      <alignment horizontal="center" vertical="center" wrapText="1"/>
    </xf>
    <xf numFmtId="49" fontId="13" fillId="7" borderId="30" xfId="11" applyNumberFormat="1" applyFont="1" applyFill="1" applyBorder="1" applyAlignment="1">
      <alignment horizontal="center" vertical="center" wrapText="1"/>
    </xf>
    <xf numFmtId="49" fontId="13" fillId="7" borderId="37" xfId="11" applyNumberFormat="1" applyFont="1" applyFill="1" applyBorder="1" applyAlignment="1">
      <alignment horizontal="center" vertical="center" wrapText="1"/>
    </xf>
    <xf numFmtId="49" fontId="13" fillId="7" borderId="38" xfId="11" applyNumberFormat="1" applyFont="1" applyFill="1" applyBorder="1" applyAlignment="1">
      <alignment horizontal="center" vertical="center" wrapText="1"/>
    </xf>
    <xf numFmtId="49" fontId="13" fillId="7" borderId="39" xfId="11" applyNumberFormat="1" applyFont="1" applyFill="1" applyBorder="1" applyAlignment="1">
      <alignment horizontal="center" vertical="center" wrapText="1"/>
    </xf>
    <xf numFmtId="0" fontId="20" fillId="0" borderId="1" xfId="11" applyFont="1" applyBorder="1" applyAlignment="1">
      <alignment horizontal="center" vertical="center" wrapText="1"/>
    </xf>
    <xf numFmtId="0" fontId="20" fillId="0" borderId="3" xfId="11" applyFont="1" applyBorder="1" applyAlignment="1">
      <alignment horizontal="center" vertical="center" wrapText="1"/>
    </xf>
    <xf numFmtId="0" fontId="20" fillId="0" borderId="73" xfId="11" applyFont="1" applyBorder="1" applyAlignment="1">
      <alignment horizontal="center" vertical="center" wrapText="1"/>
    </xf>
    <xf numFmtId="0" fontId="20" fillId="0" borderId="74" xfId="11" applyFont="1" applyBorder="1" applyAlignment="1">
      <alignment horizontal="center" vertical="center" wrapText="1"/>
    </xf>
    <xf numFmtId="0" fontId="2" fillId="0" borderId="28" xfId="11" applyFont="1" applyFill="1" applyBorder="1" applyAlignment="1">
      <alignment horizontal="center" vertical="center"/>
    </xf>
    <xf numFmtId="0" fontId="2" fillId="0" borderId="29" xfId="11" applyFont="1" applyFill="1" applyBorder="1" applyAlignment="1">
      <alignment horizontal="center" vertical="center"/>
    </xf>
    <xf numFmtId="0" fontId="2" fillId="0" borderId="30" xfId="11" applyFont="1" applyFill="1" applyBorder="1" applyAlignment="1">
      <alignment horizontal="center" vertical="center"/>
    </xf>
    <xf numFmtId="0" fontId="2" fillId="0" borderId="81" xfId="11" applyFont="1" applyFill="1" applyBorder="1" applyAlignment="1">
      <alignment horizontal="center" vertical="center"/>
    </xf>
    <xf numFmtId="0" fontId="2" fillId="0" borderId="53" xfId="11" applyFont="1" applyFill="1" applyBorder="1" applyAlignment="1">
      <alignment horizontal="center" vertical="center"/>
    </xf>
    <xf numFmtId="0" fontId="2" fillId="0" borderId="82" xfId="11" applyFont="1" applyFill="1" applyBorder="1" applyAlignment="1">
      <alignment horizontal="center" vertical="center"/>
    </xf>
    <xf numFmtId="0" fontId="1" fillId="0" borderId="28" xfId="11" applyFont="1" applyBorder="1" applyAlignment="1">
      <alignment horizontal="center" vertical="center"/>
    </xf>
    <xf numFmtId="0" fontId="1" fillId="0" borderId="83" xfId="11" applyFont="1" applyBorder="1" applyAlignment="1">
      <alignment horizontal="center" vertical="center"/>
    </xf>
    <xf numFmtId="0" fontId="1" fillId="0" borderId="81" xfId="11" applyFont="1" applyBorder="1" applyAlignment="1">
      <alignment horizontal="center" vertical="center"/>
    </xf>
    <xf numFmtId="0" fontId="1" fillId="0" borderId="74" xfId="11" applyFont="1" applyBorder="1" applyAlignment="1">
      <alignment horizontal="center" vertical="center"/>
    </xf>
    <xf numFmtId="0" fontId="0" fillId="0" borderId="28" xfId="11" applyFont="1" applyFill="1" applyBorder="1" applyAlignment="1">
      <alignment horizontal="center" vertical="center"/>
    </xf>
    <xf numFmtId="0" fontId="0" fillId="0" borderId="29" xfId="11" applyFont="1" applyFill="1" applyBorder="1" applyAlignment="1">
      <alignment horizontal="center" vertical="center"/>
    </xf>
    <xf numFmtId="0" fontId="13" fillId="0" borderId="57" xfId="11" applyFont="1" applyFill="1" applyBorder="1" applyAlignment="1">
      <alignment horizontal="center" vertical="center"/>
    </xf>
    <xf numFmtId="0" fontId="13" fillId="0" borderId="60" xfId="11" applyFont="1" applyFill="1" applyBorder="1" applyAlignment="1">
      <alignment horizontal="center" vertical="center"/>
    </xf>
    <xf numFmtId="0" fontId="0" fillId="0" borderId="72" xfId="11" applyFont="1" applyBorder="1" applyAlignment="1">
      <alignment horizontal="center" vertical="center"/>
    </xf>
    <xf numFmtId="0" fontId="0" fillId="0" borderId="76" xfId="11" applyFont="1" applyBorder="1" applyAlignment="1">
      <alignment horizontal="center" vertical="center"/>
    </xf>
    <xf numFmtId="0" fontId="13" fillId="0" borderId="58" xfId="11" applyFont="1" applyFill="1" applyBorder="1" applyAlignment="1">
      <alignment horizontal="center" vertical="center"/>
    </xf>
    <xf numFmtId="0" fontId="13" fillId="0" borderId="61" xfId="11" applyFont="1" applyFill="1" applyBorder="1" applyAlignment="1">
      <alignment horizontal="center" vertical="center"/>
    </xf>
    <xf numFmtId="0" fontId="0" fillId="0" borderId="13" xfId="11" applyFont="1" applyFill="1" applyBorder="1" applyAlignment="1">
      <alignment horizontal="left" vertical="center"/>
    </xf>
    <xf numFmtId="0" fontId="0" fillId="0" borderId="14" xfId="11" applyFont="1" applyFill="1" applyBorder="1" applyAlignment="1">
      <alignment horizontal="left" vertical="center"/>
    </xf>
    <xf numFmtId="0" fontId="13" fillId="0" borderId="59" xfId="11" applyFont="1" applyFill="1" applyBorder="1" applyAlignment="1">
      <alignment horizontal="center" vertical="center"/>
    </xf>
    <xf numFmtId="0" fontId="13" fillId="0" borderId="62" xfId="11" applyFont="1" applyFill="1" applyBorder="1" applyAlignment="1">
      <alignment horizontal="center" vertical="center"/>
    </xf>
    <xf numFmtId="10" fontId="0" fillId="9" borderId="75" xfId="12" applyNumberFormat="1" applyFont="1" applyFill="1" applyBorder="1" applyAlignment="1" applyProtection="1">
      <alignment horizontal="center" vertical="center"/>
      <protection locked="0"/>
    </xf>
    <xf numFmtId="10" fontId="0" fillId="9" borderId="77" xfId="12" applyNumberFormat="1" applyFont="1" applyFill="1" applyBorder="1" applyAlignment="1" applyProtection="1">
      <alignment horizontal="center" vertical="center"/>
      <protection locked="0"/>
    </xf>
    <xf numFmtId="0" fontId="0" fillId="0" borderId="54" xfId="11" applyFont="1" applyBorder="1" applyAlignment="1">
      <alignment horizontal="center" vertical="center"/>
    </xf>
    <xf numFmtId="0" fontId="0" fillId="0" borderId="55" xfId="11" applyFont="1" applyBorder="1" applyAlignment="1">
      <alignment horizontal="center" vertical="center"/>
    </xf>
    <xf numFmtId="0" fontId="2" fillId="0" borderId="66" xfId="11" applyFont="1" applyFill="1" applyBorder="1" applyAlignment="1">
      <alignment horizontal="justify" vertical="center" wrapText="1"/>
    </xf>
    <xf numFmtId="0" fontId="2" fillId="0" borderId="67" xfId="11" applyFont="1" applyFill="1" applyBorder="1" applyAlignment="1">
      <alignment horizontal="justify" vertical="center" wrapText="1"/>
    </xf>
    <xf numFmtId="49" fontId="13" fillId="7" borderId="70" xfId="11" applyNumberFormat="1" applyFont="1" applyFill="1" applyBorder="1" applyAlignment="1">
      <alignment horizontal="center" vertical="center" wrapText="1"/>
    </xf>
    <xf numFmtId="49" fontId="13" fillId="7" borderId="71" xfId="11" applyNumberFormat="1" applyFont="1" applyFill="1" applyBorder="1" applyAlignment="1">
      <alignment horizontal="center" vertical="center" wrapText="1"/>
    </xf>
    <xf numFmtId="49" fontId="13" fillId="7" borderId="67" xfId="11" applyNumberFormat="1" applyFont="1" applyFill="1" applyBorder="1" applyAlignment="1">
      <alignment horizontal="center" vertical="center" wrapText="1"/>
    </xf>
    <xf numFmtId="10" fontId="0" fillId="0" borderId="79" xfId="12" applyNumberFormat="1" applyFont="1" applyBorder="1" applyAlignment="1">
      <alignment horizontal="center" vertical="center"/>
    </xf>
    <xf numFmtId="10" fontId="0" fillId="0" borderId="80" xfId="12" applyNumberFormat="1" applyFont="1" applyBorder="1" applyAlignment="1">
      <alignment horizontal="center" vertical="center"/>
    </xf>
    <xf numFmtId="0" fontId="2" fillId="0" borderId="69" xfId="11" applyFont="1" applyFill="1" applyBorder="1" applyAlignment="1">
      <alignment horizontal="right" vertical="center"/>
    </xf>
    <xf numFmtId="0" fontId="2" fillId="0" borderId="64" xfId="11" applyFont="1" applyFill="1" applyBorder="1" applyAlignment="1">
      <alignment horizontal="right" vertical="center"/>
    </xf>
    <xf numFmtId="10" fontId="0" fillId="0" borderId="25" xfId="12" applyNumberFormat="1" applyFont="1" applyBorder="1" applyAlignment="1">
      <alignment horizontal="center" vertical="center"/>
    </xf>
    <xf numFmtId="10" fontId="0" fillId="0" borderId="27" xfId="12" applyNumberFormat="1" applyFont="1" applyBorder="1" applyAlignment="1">
      <alignment horizontal="center" vertical="center"/>
    </xf>
    <xf numFmtId="10" fontId="0" fillId="0" borderId="63" xfId="12" applyNumberFormat="1" applyFont="1" applyBorder="1" applyAlignment="1">
      <alignment horizontal="center" vertical="center"/>
    </xf>
    <xf numFmtId="10" fontId="0" fillId="0" borderId="64" xfId="12" applyNumberFormat="1" applyFont="1" applyBorder="1" applyAlignment="1">
      <alignment horizontal="center" vertical="center"/>
    </xf>
    <xf numFmtId="10" fontId="0" fillId="0" borderId="66" xfId="12" applyNumberFormat="1" applyFont="1" applyBorder="1" applyAlignment="1">
      <alignment horizontal="center" vertical="center"/>
    </xf>
    <xf numFmtId="10" fontId="0" fillId="0" borderId="68" xfId="12" applyNumberFormat="1" applyFont="1" applyBorder="1" applyAlignment="1">
      <alignment horizontal="center" vertical="center"/>
    </xf>
    <xf numFmtId="0" fontId="18" fillId="0" borderId="66" xfId="11" applyFont="1" applyBorder="1" applyAlignment="1">
      <alignment horizontal="center"/>
    </xf>
    <xf numFmtId="0" fontId="18" fillId="0" borderId="68" xfId="11" applyFont="1" applyBorder="1" applyAlignment="1">
      <alignment horizontal="center"/>
    </xf>
    <xf numFmtId="0" fontId="0" fillId="0" borderId="0" xfId="0" applyAlignment="1">
      <alignment horizontal="center"/>
    </xf>
    <xf numFmtId="49" fontId="50" fillId="7" borderId="54" xfId="11" applyNumberFormat="1" applyFont="1" applyFill="1" applyBorder="1" applyAlignment="1">
      <alignment horizontal="center" vertical="center"/>
    </xf>
    <xf numFmtId="49" fontId="3" fillId="7" borderId="55" xfId="11" applyNumberFormat="1" applyFont="1" applyFill="1" applyBorder="1" applyAlignment="1">
      <alignment horizontal="center" vertical="center"/>
    </xf>
    <xf numFmtId="49" fontId="3" fillId="7" borderId="56" xfId="11" applyNumberFormat="1" applyFont="1" applyFill="1" applyBorder="1" applyAlignment="1">
      <alignment horizontal="center" vertical="center"/>
    </xf>
    <xf numFmtId="0" fontId="13" fillId="8" borderId="63" xfId="11" applyFont="1" applyFill="1" applyBorder="1" applyAlignment="1">
      <alignment horizontal="center" vertical="center"/>
    </xf>
    <xf numFmtId="0" fontId="13" fillId="8" borderId="64" xfId="11" applyFont="1" applyFill="1" applyBorder="1" applyAlignment="1">
      <alignment horizontal="center" vertical="center"/>
    </xf>
    <xf numFmtId="0" fontId="0" fillId="0" borderId="54" xfId="11" applyFont="1" applyBorder="1" applyAlignment="1">
      <alignment vertical="center"/>
    </xf>
    <xf numFmtId="0" fontId="0" fillId="0" borderId="55" xfId="11" applyFont="1" applyBorder="1" applyAlignment="1">
      <alignment vertical="center"/>
    </xf>
    <xf numFmtId="0" fontId="51" fillId="0" borderId="28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/>
    </xf>
    <xf numFmtId="0" fontId="16" fillId="0" borderId="53" xfId="0" applyFont="1" applyBorder="1" applyAlignment="1">
      <alignment horizontal="left" vertical="center" wrapText="1"/>
    </xf>
    <xf numFmtId="0" fontId="16" fillId="0" borderId="82" xfId="0" applyFont="1" applyBorder="1" applyAlignment="1">
      <alignment horizontal="left" vertical="center" wrapText="1"/>
    </xf>
    <xf numFmtId="49" fontId="3" fillId="7" borderId="54" xfId="11" applyNumberFormat="1" applyFont="1" applyFill="1" applyBorder="1" applyAlignment="1">
      <alignment horizontal="center" vertical="center"/>
    </xf>
    <xf numFmtId="0" fontId="11" fillId="0" borderId="35" xfId="7" applyFont="1" applyFill="1" applyBorder="1" applyAlignment="1">
      <alignment horizontal="center" vertical="center" wrapText="1"/>
    </xf>
    <xf numFmtId="0" fontId="11" fillId="0" borderId="2" xfId="7" applyFont="1" applyFill="1" applyBorder="1" applyAlignment="1">
      <alignment horizontal="center" vertical="center" wrapText="1"/>
    </xf>
    <xf numFmtId="0" fontId="11" fillId="0" borderId="36" xfId="7" applyFont="1" applyFill="1" applyBorder="1" applyAlignment="1">
      <alignment horizontal="center" vertical="center" wrapText="1"/>
    </xf>
    <xf numFmtId="0" fontId="11" fillId="0" borderId="37" xfId="7" applyFont="1" applyFill="1" applyBorder="1" applyAlignment="1">
      <alignment horizontal="center" vertical="center" wrapText="1"/>
    </xf>
    <xf numFmtId="0" fontId="11" fillId="0" borderId="38" xfId="7" applyFont="1" applyFill="1" applyBorder="1" applyAlignment="1">
      <alignment horizontal="center" vertical="center" wrapText="1"/>
    </xf>
    <xf numFmtId="0" fontId="11" fillId="0" borderId="39" xfId="7" applyFont="1" applyFill="1" applyBorder="1" applyAlignment="1">
      <alignment horizontal="center" vertical="center" wrapText="1"/>
    </xf>
    <xf numFmtId="0" fontId="12" fillId="0" borderId="33" xfId="9" applyFont="1" applyFill="1" applyBorder="1" applyAlignment="1">
      <alignment horizontal="center" vertical="center"/>
    </xf>
    <xf numFmtId="0" fontId="12" fillId="0" borderId="9" xfId="9" applyFont="1" applyFill="1" applyBorder="1" applyAlignment="1">
      <alignment horizontal="center" vertical="center"/>
    </xf>
    <xf numFmtId="0" fontId="12" fillId="0" borderId="40" xfId="9" applyFont="1" applyFill="1" applyBorder="1" applyAlignment="1">
      <alignment horizontal="center" vertical="center"/>
    </xf>
    <xf numFmtId="0" fontId="12" fillId="0" borderId="26" xfId="9" applyFont="1" applyFill="1" applyBorder="1" applyAlignment="1">
      <alignment horizontal="center" vertical="center"/>
    </xf>
    <xf numFmtId="0" fontId="12" fillId="0" borderId="34" xfId="9" applyFont="1" applyFill="1" applyBorder="1" applyAlignment="1">
      <alignment horizontal="center" vertical="center"/>
    </xf>
    <xf numFmtId="0" fontId="11" fillId="0" borderId="40" xfId="9" applyFont="1" applyFill="1" applyBorder="1" applyAlignment="1">
      <alignment horizontal="center"/>
    </xf>
    <xf numFmtId="0" fontId="11" fillId="0" borderId="26" xfId="9" applyFont="1" applyFill="1" applyBorder="1" applyAlignment="1">
      <alignment horizontal="center"/>
    </xf>
    <xf numFmtId="0" fontId="11" fillId="0" borderId="34" xfId="9" applyFont="1" applyFill="1" applyBorder="1" applyAlignment="1">
      <alignment horizontal="center"/>
    </xf>
    <xf numFmtId="0" fontId="12" fillId="0" borderId="48" xfId="9" applyFont="1" applyFill="1" applyBorder="1" applyAlignment="1">
      <alignment horizontal="center" vertical="center"/>
    </xf>
    <xf numFmtId="0" fontId="12" fillId="0" borderId="49" xfId="9" applyFont="1" applyFill="1" applyBorder="1" applyAlignment="1">
      <alignment horizontal="center" vertical="center"/>
    </xf>
    <xf numFmtId="0" fontId="1" fillId="0" borderId="40" xfId="9" applyFont="1" applyFill="1" applyBorder="1" applyAlignment="1">
      <alignment horizontal="center" vertical="center"/>
    </xf>
    <xf numFmtId="0" fontId="12" fillId="0" borderId="25" xfId="9" applyFont="1" applyFill="1" applyBorder="1" applyAlignment="1">
      <alignment horizontal="center" vertical="center"/>
    </xf>
    <xf numFmtId="0" fontId="12" fillId="0" borderId="27" xfId="9" applyFont="1" applyFill="1" applyBorder="1" applyAlignment="1">
      <alignment horizontal="center" vertical="center"/>
    </xf>
    <xf numFmtId="168" fontId="12" fillId="0" borderId="9" xfId="9" applyNumberFormat="1" applyFont="1" applyFill="1" applyBorder="1" applyAlignment="1">
      <alignment horizontal="center" vertical="center"/>
    </xf>
    <xf numFmtId="168" fontId="12" fillId="0" borderId="41" xfId="9" applyNumberFormat="1" applyFont="1" applyFill="1" applyBorder="1" applyAlignment="1">
      <alignment horizontal="center" vertical="center"/>
    </xf>
  </cellXfs>
  <cellStyles count="16">
    <cellStyle name="Moeda" xfId="3" builtinId="4"/>
    <cellStyle name="Moeda 2" xfId="5"/>
    <cellStyle name="Normal" xfId="0" builtinId="0"/>
    <cellStyle name="Normal 11" xfId="7"/>
    <cellStyle name="Normal 2" xfId="4"/>
    <cellStyle name="Normal 2 2" xfId="9"/>
    <cellStyle name="Normal 3" xfId="10"/>
    <cellStyle name="Normal 6" xfId="11"/>
    <cellStyle name="Normal_Pesquisa no referencial 10 de maio de 2013" xfId="13"/>
    <cellStyle name="Porcentagem" xfId="2" builtinId="5"/>
    <cellStyle name="Porcentagem 2" xfId="14"/>
    <cellStyle name="Separador de milhares 2" xfId="8"/>
    <cellStyle name="Separador de milhares 2 2" xfId="6"/>
    <cellStyle name="Vírgula" xfId="1" builtinId="3"/>
    <cellStyle name="Vírgula 2" xfId="15"/>
    <cellStyle name="Vírgula 6" xfId="1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0000"/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</xdr:colOff>
      <xdr:row>0</xdr:row>
      <xdr:rowOff>111125</xdr:rowOff>
    </xdr:from>
    <xdr:to>
      <xdr:col>3</xdr:col>
      <xdr:colOff>208101</xdr:colOff>
      <xdr:row>2</xdr:row>
      <xdr:rowOff>31863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635" y="111125"/>
          <a:ext cx="2388235" cy="282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47625</xdr:rowOff>
    </xdr:from>
    <xdr:to>
      <xdr:col>1</xdr:col>
      <xdr:colOff>1876425</xdr:colOff>
      <xdr:row>3</xdr:row>
      <xdr:rowOff>38100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47625" y="47625"/>
          <a:ext cx="24288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92075</xdr:colOff>
      <xdr:row>0</xdr:row>
      <xdr:rowOff>109855</xdr:rowOff>
    </xdr:from>
    <xdr:to>
      <xdr:col>1</xdr:col>
      <xdr:colOff>1679875</xdr:colOff>
      <xdr:row>2</xdr:row>
      <xdr:rowOff>116146</xdr:rowOff>
    </xdr:to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92075" y="109855"/>
          <a:ext cx="2206625" cy="329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11682</xdr:colOff>
      <xdr:row>0</xdr:row>
      <xdr:rowOff>0</xdr:rowOff>
    </xdr:from>
    <xdr:to>
      <xdr:col>1</xdr:col>
      <xdr:colOff>1135632</xdr:colOff>
      <xdr:row>2</xdr:row>
      <xdr:rowOff>133170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11430" y="0"/>
          <a:ext cx="1733550" cy="456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44450</xdr:rowOff>
    </xdr:from>
    <xdr:to>
      <xdr:col>3</xdr:col>
      <xdr:colOff>613834</xdr:colOff>
      <xdr:row>2</xdr:row>
      <xdr:rowOff>104775</xdr:rowOff>
    </xdr:to>
    <xdr:pic>
      <xdr:nvPicPr>
        <xdr:cNvPr id="2" name="Object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38100" y="44450"/>
          <a:ext cx="3232785" cy="384175"/>
        </a:xfrm>
        <a:prstGeom prst="rect">
          <a:avLst/>
        </a:prstGeom>
        <a:blipFill dpi="0" rotWithShape="0"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0</xdr:rowOff>
    </xdr:from>
    <xdr:to>
      <xdr:col>2</xdr:col>
      <xdr:colOff>790575</xdr:colOff>
      <xdr:row>3</xdr:row>
      <xdr:rowOff>0</xdr:rowOff>
    </xdr:to>
    <xdr:pic>
      <xdr:nvPicPr>
        <xdr:cNvPr id="2" name="Object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9525" y="0"/>
          <a:ext cx="2552700" cy="485775"/>
        </a:xfrm>
        <a:prstGeom prst="rect">
          <a:avLst/>
        </a:prstGeom>
        <a:blipFill dpi="0" rotWithShape="0"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37465</xdr:colOff>
      <xdr:row>1</xdr:row>
      <xdr:rowOff>95250</xdr:rowOff>
    </xdr:from>
    <xdr:to>
      <xdr:col>2</xdr:col>
      <xdr:colOff>267335</xdr:colOff>
      <xdr:row>4</xdr:row>
      <xdr:rowOff>38100</xdr:rowOff>
    </xdr:to>
    <xdr:pic>
      <xdr:nvPicPr>
        <xdr:cNvPr id="2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7540" y="266700"/>
          <a:ext cx="263969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1</xdr:col>
      <xdr:colOff>9525</xdr:colOff>
      <xdr:row>1</xdr:row>
      <xdr:rowOff>8890</xdr:rowOff>
    </xdr:from>
    <xdr:to>
      <xdr:col>6</xdr:col>
      <xdr:colOff>1078230</xdr:colOff>
      <xdr:row>6</xdr:row>
      <xdr:rowOff>9525</xdr:rowOff>
    </xdr:to>
    <xdr:sp macro="" textlink="">
      <xdr:nvSpPr>
        <xdr:cNvPr id="3" name="CaixaDeTexto 1"/>
        <xdr:cNvSpPr txBox="1"/>
      </xdr:nvSpPr>
      <xdr:spPr>
        <a:xfrm>
          <a:off x="609600" y="180340"/>
          <a:ext cx="7012305" cy="81026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pt-BR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pt-BR" sz="1000" b="1" baseline="0"/>
            <a:t>			 </a:t>
          </a:r>
          <a:r>
            <a:rPr lang="pt-BR" sz="1000" b="1"/>
            <a:t>Ministério do Desenvolvimento Regional – MDR</a:t>
          </a:r>
        </a:p>
        <a:p>
          <a:r>
            <a:rPr lang="pt-BR" sz="1000" b="1" baseline="0"/>
            <a:t>			C</a:t>
          </a:r>
          <a:r>
            <a:rPr lang="pt-BR" sz="1000" b="1"/>
            <a:t>ompanhia de Desenvolvimento dos Vales do São Francisco e do Parnaíba </a:t>
          </a:r>
        </a:p>
        <a:p>
          <a:r>
            <a:rPr lang="pt-BR" sz="1000" b="1"/>
            <a:t>			</a:t>
          </a:r>
          <a:r>
            <a:rPr lang="pt-BR" sz="1000" b="1">
              <a:solidFill>
                <a:sysClr val="windowText" lastClr="000000"/>
              </a:solidFill>
            </a:rPr>
            <a:t>2ª GRD/UIP - 2ª Su</a:t>
          </a:r>
          <a:r>
            <a:rPr lang="pt-BR" sz="1000" b="1"/>
            <a:t>perintendência Regional </a:t>
          </a:r>
          <a:endParaRPr lang="pt-BR" altLang="en-US" sz="1000" b="1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Q111"/>
  <sheetViews>
    <sheetView showGridLines="0" view="pageBreakPreview" topLeftCell="A79" zoomScale="85" zoomScaleNormal="100" zoomScaleSheetLayoutView="85" workbookViewId="0">
      <selection activeCell="A5" sqref="A5:I5"/>
    </sheetView>
  </sheetViews>
  <sheetFormatPr defaultColWidth="9.140625" defaultRowHeight="12.75"/>
  <cols>
    <col min="1" max="1" width="8.140625" style="203" customWidth="1"/>
    <col min="2" max="2" width="11.28515625" style="203" customWidth="1"/>
    <col min="3" max="3" width="13.28515625" style="203" customWidth="1"/>
    <col min="4" max="4" width="63" style="203" customWidth="1"/>
    <col min="5" max="5" width="6.140625" style="203" customWidth="1"/>
    <col min="6" max="6" width="16.140625" style="231" customWidth="1"/>
    <col min="7" max="8" width="15.7109375" style="232" customWidth="1"/>
    <col min="9" max="9" width="17.7109375" style="233" customWidth="1"/>
    <col min="10" max="10" width="17.85546875" style="203" customWidth="1"/>
    <col min="11" max="11" width="10.140625" style="203" customWidth="1"/>
    <col min="12" max="14" width="9.5703125" style="203"/>
    <col min="15" max="15" width="12.85546875" style="203"/>
    <col min="16" max="16" width="11.7109375" style="203"/>
    <col min="17" max="18" width="12.42578125" style="203"/>
    <col min="19" max="16384" width="9.140625" style="203"/>
  </cols>
  <sheetData>
    <row r="1" spans="1:14" s="154" customFormat="1" ht="16.5">
      <c r="A1" s="188"/>
      <c r="B1" s="268"/>
      <c r="C1" s="268"/>
      <c r="D1" s="321" t="s">
        <v>1</v>
      </c>
      <c r="E1" s="321"/>
      <c r="F1" s="321"/>
      <c r="G1" s="322"/>
      <c r="H1" s="322"/>
      <c r="I1" s="322"/>
      <c r="J1" s="299" t="s">
        <v>2</v>
      </c>
    </row>
    <row r="2" spans="1:14" s="154" customFormat="1" ht="16.5">
      <c r="A2" s="189"/>
      <c r="B2" s="234"/>
      <c r="C2" s="234"/>
      <c r="D2" s="323" t="s">
        <v>3</v>
      </c>
      <c r="E2" s="323"/>
      <c r="F2" s="323"/>
      <c r="G2" s="324"/>
      <c r="H2" s="324"/>
      <c r="I2" s="324"/>
      <c r="J2" s="300"/>
    </row>
    <row r="3" spans="1:14" s="154" customFormat="1" ht="16.5">
      <c r="A3" s="189"/>
      <c r="B3" s="234"/>
      <c r="C3" s="234"/>
      <c r="D3" s="323" t="s">
        <v>4</v>
      </c>
      <c r="E3" s="323"/>
      <c r="F3" s="323"/>
      <c r="G3" s="324"/>
      <c r="H3" s="324"/>
      <c r="I3" s="324"/>
      <c r="J3" s="300"/>
    </row>
    <row r="4" spans="1:14" s="155" customFormat="1">
      <c r="A4" s="161"/>
      <c r="B4" s="235"/>
      <c r="C4" s="235"/>
      <c r="D4" s="162"/>
      <c r="E4" s="163"/>
      <c r="F4" s="164"/>
      <c r="G4" s="236"/>
      <c r="H4" s="236"/>
      <c r="I4" s="236"/>
      <c r="J4" s="300"/>
    </row>
    <row r="5" spans="1:14" customFormat="1" ht="45.95" customHeight="1">
      <c r="A5" s="325" t="s">
        <v>5</v>
      </c>
      <c r="B5" s="325"/>
      <c r="C5" s="325"/>
      <c r="D5" s="325"/>
      <c r="E5" s="325"/>
      <c r="F5" s="325"/>
      <c r="G5" s="326"/>
      <c r="H5" s="326"/>
      <c r="I5" s="326"/>
      <c r="J5" s="300"/>
    </row>
    <row r="6" spans="1:14" customFormat="1">
      <c r="A6" s="269"/>
      <c r="B6" s="237"/>
      <c r="C6" s="237"/>
      <c r="D6" s="238"/>
      <c r="E6" s="238"/>
      <c r="F6" s="239"/>
      <c r="G6" s="240"/>
      <c r="H6" s="240"/>
      <c r="I6" s="261"/>
      <c r="J6" s="300"/>
    </row>
    <row r="7" spans="1:14" customFormat="1">
      <c r="A7" s="327" t="s">
        <v>6</v>
      </c>
      <c r="B7" s="328"/>
      <c r="C7" s="328"/>
      <c r="D7" s="241">
        <f>BDI!D36</f>
        <v>0.21378112315270936</v>
      </c>
      <c r="E7" s="328" t="s">
        <v>7</v>
      </c>
      <c r="F7" s="328"/>
      <c r="G7" s="270">
        <f>'ENC SOCIAIS'!F52</f>
        <v>1.1446999999999998</v>
      </c>
      <c r="H7" s="232"/>
      <c r="I7" s="262"/>
      <c r="J7" s="300"/>
    </row>
    <row r="8" spans="1:14" ht="15.75" customHeight="1">
      <c r="A8" s="122" t="s">
        <v>8</v>
      </c>
      <c r="B8" s="317" t="s">
        <v>9</v>
      </c>
      <c r="C8" s="317"/>
      <c r="D8" s="317"/>
      <c r="E8" s="242"/>
      <c r="F8" s="242"/>
      <c r="G8" s="243"/>
      <c r="H8" s="243"/>
      <c r="I8" s="243"/>
      <c r="J8" s="300"/>
    </row>
    <row r="9" spans="1:14" ht="18">
      <c r="A9" s="318" t="s">
        <v>512</v>
      </c>
      <c r="B9" s="319"/>
      <c r="C9" s="319"/>
      <c r="D9" s="319"/>
      <c r="E9" s="319"/>
      <c r="F9" s="319"/>
      <c r="G9" s="320"/>
      <c r="H9" s="320"/>
      <c r="I9" s="320"/>
      <c r="J9" s="277">
        <v>1.7999999999999999E-2</v>
      </c>
      <c r="K9" s="203">
        <v>12340.5579</v>
      </c>
    </row>
    <row r="10" spans="1:14" ht="38.25">
      <c r="A10" s="244" t="s">
        <v>10</v>
      </c>
      <c r="B10" s="245" t="s">
        <v>11</v>
      </c>
      <c r="C10" s="245" t="s">
        <v>12</v>
      </c>
      <c r="D10" s="246" t="s">
        <v>13</v>
      </c>
      <c r="E10" s="247" t="s">
        <v>14</v>
      </c>
      <c r="F10" s="248" t="s">
        <v>15</v>
      </c>
      <c r="G10" s="249" t="s">
        <v>16</v>
      </c>
      <c r="H10" s="249" t="s">
        <v>17</v>
      </c>
      <c r="I10" s="263" t="s">
        <v>18</v>
      </c>
      <c r="J10" s="278" t="s">
        <v>19</v>
      </c>
      <c r="K10" s="203">
        <f>K9/I19</f>
        <v>0.35274711262100122</v>
      </c>
    </row>
    <row r="11" spans="1:14">
      <c r="A11" s="271">
        <v>1</v>
      </c>
      <c r="C11" s="272"/>
      <c r="D11" s="273" t="s">
        <v>20</v>
      </c>
      <c r="E11" s="312"/>
      <c r="F11" s="313"/>
      <c r="G11" s="313"/>
      <c r="H11" s="313"/>
      <c r="I11" s="313"/>
      <c r="J11" s="314"/>
    </row>
    <row r="12" spans="1:14">
      <c r="A12" s="250" t="s">
        <v>21</v>
      </c>
      <c r="B12" s="251" t="s">
        <v>22</v>
      </c>
      <c r="C12" s="252" t="s">
        <v>141</v>
      </c>
      <c r="D12" s="196" t="s">
        <v>23</v>
      </c>
      <c r="E12" s="25" t="s">
        <v>24</v>
      </c>
      <c r="F12" s="253">
        <v>1</v>
      </c>
      <c r="G12" s="254">
        <f>H12/(1+$D$7)</f>
        <v>16285.992278949767</v>
      </c>
      <c r="H12" s="254">
        <f>'CPU 01 - SERVIÇOS PRELIMINARES'!H20</f>
        <v>19767.63</v>
      </c>
      <c r="I12" s="264">
        <f t="shared" ref="I12:I18" si="0">ROUND(F12*H12,2)</f>
        <v>19767.63</v>
      </c>
      <c r="J12" s="266">
        <f t="shared" ref="J12:J18" si="1">ROUND(I12*(1+$J$9),2)</f>
        <v>20123.45</v>
      </c>
      <c r="K12" s="265">
        <f>J12/I105</f>
        <v>6.8288449689356087E-2</v>
      </c>
      <c r="L12" s="203">
        <f>I12/3</f>
        <v>6589.21</v>
      </c>
      <c r="M12" s="203">
        <f>I12/3</f>
        <v>6589.21</v>
      </c>
      <c r="N12" s="203">
        <f>I12/3</f>
        <v>6589.21</v>
      </c>
    </row>
    <row r="13" spans="1:14">
      <c r="A13" s="250" t="s">
        <v>25</v>
      </c>
      <c r="B13" s="251" t="s">
        <v>26</v>
      </c>
      <c r="C13" s="252">
        <v>10775</v>
      </c>
      <c r="D13" s="196" t="s">
        <v>27</v>
      </c>
      <c r="E13" s="25" t="s">
        <v>28</v>
      </c>
      <c r="F13" s="255">
        <v>3</v>
      </c>
      <c r="G13" s="254">
        <v>870</v>
      </c>
      <c r="H13" s="254">
        <f>ROUND(G13*(1+$D$7),2)</f>
        <v>1055.99</v>
      </c>
      <c r="I13" s="264">
        <f t="shared" si="0"/>
        <v>3167.97</v>
      </c>
      <c r="J13" s="266">
        <f t="shared" si="1"/>
        <v>3224.99</v>
      </c>
      <c r="K13" s="265"/>
    </row>
    <row r="14" spans="1:14">
      <c r="A14" s="250" t="s">
        <v>29</v>
      </c>
      <c r="B14" s="251" t="s">
        <v>30</v>
      </c>
      <c r="C14" s="252">
        <v>4299</v>
      </c>
      <c r="D14" s="196" t="s">
        <v>31</v>
      </c>
      <c r="E14" s="25" t="s">
        <v>28</v>
      </c>
      <c r="F14" s="255">
        <v>3</v>
      </c>
      <c r="G14" s="254">
        <v>654.41999999999996</v>
      </c>
      <c r="H14" s="254">
        <f>ROUND(G14*(1+$D$7),2)</f>
        <v>794.32</v>
      </c>
      <c r="I14" s="264">
        <f t="shared" si="0"/>
        <v>2382.96</v>
      </c>
      <c r="J14" s="266">
        <f t="shared" si="1"/>
        <v>2425.85</v>
      </c>
      <c r="K14" s="265"/>
    </row>
    <row r="15" spans="1:14">
      <c r="A15" s="250" t="s">
        <v>32</v>
      </c>
      <c r="B15" s="251" t="s">
        <v>22</v>
      </c>
      <c r="C15" s="252" t="s">
        <v>142</v>
      </c>
      <c r="D15" s="196" t="s">
        <v>33</v>
      </c>
      <c r="E15" s="25" t="s">
        <v>34</v>
      </c>
      <c r="F15" s="255">
        <v>1</v>
      </c>
      <c r="G15" s="254">
        <f>'CPU 01 - SERVIÇOS PRELIMINARES'!H25</f>
        <v>2479.0699999999997</v>
      </c>
      <c r="H15" s="254">
        <f>ROUND(G15*(1+$D$7),2)</f>
        <v>3009.05</v>
      </c>
      <c r="I15" s="264">
        <f t="shared" si="0"/>
        <v>3009.05</v>
      </c>
      <c r="J15" s="266">
        <f t="shared" si="1"/>
        <v>3063.21</v>
      </c>
      <c r="L15" s="231">
        <f>I15</f>
        <v>3009.05</v>
      </c>
    </row>
    <row r="16" spans="1:14">
      <c r="A16" s="250" t="s">
        <v>35</v>
      </c>
      <c r="B16" s="251" t="s">
        <v>22</v>
      </c>
      <c r="C16" s="252" t="s">
        <v>142</v>
      </c>
      <c r="D16" s="196" t="s">
        <v>36</v>
      </c>
      <c r="E16" s="25" t="s">
        <v>34</v>
      </c>
      <c r="F16" s="255">
        <v>1</v>
      </c>
      <c r="G16" s="254">
        <f>G15</f>
        <v>2479.0699999999997</v>
      </c>
      <c r="H16" s="254">
        <f>ROUND(G16*(1+$D$7),2)</f>
        <v>3009.05</v>
      </c>
      <c r="I16" s="264">
        <f t="shared" si="0"/>
        <v>3009.05</v>
      </c>
      <c r="J16" s="266">
        <f t="shared" si="1"/>
        <v>3063.21</v>
      </c>
      <c r="L16" s="231">
        <f>I16</f>
        <v>3009.05</v>
      </c>
    </row>
    <row r="17" spans="1:14">
      <c r="A17" s="250" t="s">
        <v>37</v>
      </c>
      <c r="B17" s="251" t="s">
        <v>22</v>
      </c>
      <c r="C17" s="252" t="s">
        <v>38</v>
      </c>
      <c r="D17" s="196" t="s">
        <v>39</v>
      </c>
      <c r="E17" s="25" t="s">
        <v>40</v>
      </c>
      <c r="F17" s="255">
        <f>3.6*1.8</f>
        <v>6.48</v>
      </c>
      <c r="G17" s="254">
        <f>H17/(1+$D$7)</f>
        <v>376.37757853194393</v>
      </c>
      <c r="H17" s="254">
        <f>'CPU 01 - SERVIÇOS PRELIMINARES'!H42</f>
        <v>456.84</v>
      </c>
      <c r="I17" s="264">
        <f t="shared" si="0"/>
        <v>2960.32</v>
      </c>
      <c r="J17" s="266">
        <f t="shared" si="1"/>
        <v>3013.61</v>
      </c>
      <c r="L17" s="231">
        <f>I17</f>
        <v>2960.32</v>
      </c>
    </row>
    <row r="18" spans="1:14">
      <c r="A18" s="250" t="s">
        <v>41</v>
      </c>
      <c r="B18" s="251" t="s">
        <v>22</v>
      </c>
      <c r="C18" s="252" t="s">
        <v>42</v>
      </c>
      <c r="D18" s="196" t="s">
        <v>43</v>
      </c>
      <c r="E18" s="25" t="s">
        <v>40</v>
      </c>
      <c r="F18" s="255">
        <f>'MC - Ibotirama'!H5</f>
        <v>1374.34</v>
      </c>
      <c r="G18" s="254">
        <f>H18/(1+$D$7)</f>
        <v>0.41193588404249187</v>
      </c>
      <c r="H18" s="254">
        <f>'CPU 01 - SERVIÇOS PRELIMINARES'!H53</f>
        <v>0.5</v>
      </c>
      <c r="I18" s="264">
        <f t="shared" si="0"/>
        <v>687.17</v>
      </c>
      <c r="J18" s="266">
        <f t="shared" si="1"/>
        <v>699.54</v>
      </c>
      <c r="L18" s="231">
        <f>I18</f>
        <v>687.17</v>
      </c>
    </row>
    <row r="19" spans="1:14" ht="15">
      <c r="A19" s="315"/>
      <c r="B19" s="303"/>
      <c r="C19" s="316"/>
      <c r="D19" s="316"/>
      <c r="E19" s="304" t="s">
        <v>44</v>
      </c>
      <c r="F19" s="304"/>
      <c r="G19" s="305"/>
      <c r="H19" s="305"/>
      <c r="I19" s="267">
        <f>SUM(I12:I18)</f>
        <v>34984.15</v>
      </c>
      <c r="J19" s="279">
        <f>SUM(J12:J18)</f>
        <v>35613.86</v>
      </c>
      <c r="L19" s="203">
        <f>SUM(L12:L17)</f>
        <v>15567.630000000001</v>
      </c>
      <c r="M19" s="203">
        <f>SUM(M12:M17)</f>
        <v>6589.21</v>
      </c>
      <c r="N19" s="203">
        <f>SUM(N12:N17)</f>
        <v>6589.21</v>
      </c>
    </row>
    <row r="20" spans="1:14">
      <c r="A20" s="271">
        <v>2</v>
      </c>
      <c r="C20" s="272"/>
      <c r="D20" s="273" t="s">
        <v>112</v>
      </c>
      <c r="E20" s="312"/>
      <c r="F20" s="313"/>
      <c r="G20" s="313"/>
      <c r="H20" s="313"/>
      <c r="I20" s="313"/>
      <c r="J20" s="314"/>
    </row>
    <row r="21" spans="1:14" ht="25.5">
      <c r="A21" s="250" t="s">
        <v>45</v>
      </c>
      <c r="B21" s="251" t="s">
        <v>26</v>
      </c>
      <c r="C21" s="252">
        <v>98525</v>
      </c>
      <c r="D21" s="196" t="s">
        <v>143</v>
      </c>
      <c r="E21" s="25" t="s">
        <v>46</v>
      </c>
      <c r="F21" s="255">
        <f>'MC - Ibotirama'!E9</f>
        <v>1374.34</v>
      </c>
      <c r="G21" s="254">
        <v>0.42</v>
      </c>
      <c r="H21" s="254">
        <f>ROUND(G21*(1+$D$7),2)</f>
        <v>0.51</v>
      </c>
      <c r="I21" s="264">
        <f>ROUND(F21*H21,2)</f>
        <v>700.91</v>
      </c>
      <c r="J21" s="266">
        <f t="shared" ref="J21:J27" si="2">ROUND(I21*(1+$J$9),2)</f>
        <v>713.53</v>
      </c>
    </row>
    <row r="22" spans="1:14" ht="25.5">
      <c r="A22" s="250" t="s">
        <v>47</v>
      </c>
      <c r="B22" s="251" t="s">
        <v>30</v>
      </c>
      <c r="C22" s="252">
        <v>96385</v>
      </c>
      <c r="D22" s="196" t="s">
        <v>144</v>
      </c>
      <c r="E22" s="25" t="s">
        <v>145</v>
      </c>
      <c r="F22" s="255">
        <f>'MC - Ibotirama'!E10</f>
        <v>137.434</v>
      </c>
      <c r="G22" s="254">
        <v>8.89</v>
      </c>
      <c r="H22" s="254">
        <f t="shared" ref="H22:H27" si="3">ROUND(G22*(1+$D$7),2)</f>
        <v>10.79</v>
      </c>
      <c r="I22" s="264">
        <f t="shared" ref="I22:I27" si="4">ROUND(F22*H22,2)</f>
        <v>1482.91</v>
      </c>
      <c r="J22" s="266">
        <f t="shared" si="2"/>
        <v>1509.6</v>
      </c>
    </row>
    <row r="23" spans="1:14" ht="25.5">
      <c r="A23" s="250" t="s">
        <v>133</v>
      </c>
      <c r="B23" s="251" t="s">
        <v>26</v>
      </c>
      <c r="C23" s="252">
        <v>93589</v>
      </c>
      <c r="D23" s="196" t="s">
        <v>146</v>
      </c>
      <c r="E23" s="25" t="s">
        <v>147</v>
      </c>
      <c r="F23" s="255">
        <f>'MC - Ibotirama'!E11</f>
        <v>1374.34</v>
      </c>
      <c r="G23" s="254">
        <v>2.08</v>
      </c>
      <c r="H23" s="254">
        <f t="shared" si="3"/>
        <v>2.52</v>
      </c>
      <c r="I23" s="264">
        <f t="shared" si="4"/>
        <v>3463.34</v>
      </c>
      <c r="J23" s="266">
        <f t="shared" si="2"/>
        <v>3525.68</v>
      </c>
    </row>
    <row r="24" spans="1:14" ht="38.25">
      <c r="A24" s="250" t="s">
        <v>148</v>
      </c>
      <c r="B24" s="251" t="s">
        <v>26</v>
      </c>
      <c r="C24" s="252">
        <v>100974</v>
      </c>
      <c r="D24" s="196" t="s">
        <v>149</v>
      </c>
      <c r="E24" s="25" t="s">
        <v>145</v>
      </c>
      <c r="F24" s="255">
        <f>'MC - Ibotirama'!E12</f>
        <v>137.434</v>
      </c>
      <c r="G24" s="254">
        <v>7.13</v>
      </c>
      <c r="H24" s="254">
        <f t="shared" si="3"/>
        <v>8.65</v>
      </c>
      <c r="I24" s="264">
        <f t="shared" si="4"/>
        <v>1188.8</v>
      </c>
      <c r="J24" s="266">
        <f t="shared" si="2"/>
        <v>1210.2</v>
      </c>
    </row>
    <row r="25" spans="1:14" ht="25.5">
      <c r="A25" s="250" t="s">
        <v>150</v>
      </c>
      <c r="B25" s="251" t="s">
        <v>26</v>
      </c>
      <c r="C25" s="252">
        <v>97629</v>
      </c>
      <c r="D25" s="196" t="s">
        <v>151</v>
      </c>
      <c r="E25" s="25" t="s">
        <v>145</v>
      </c>
      <c r="F25" s="255">
        <f>'MC - Ibotirama'!E13</f>
        <v>13.215</v>
      </c>
      <c r="G25" s="254">
        <v>130.88999999999999</v>
      </c>
      <c r="H25" s="254">
        <f t="shared" si="3"/>
        <v>158.87</v>
      </c>
      <c r="I25" s="264">
        <f t="shared" si="4"/>
        <v>2099.4699999999998</v>
      </c>
      <c r="J25" s="266">
        <f t="shared" si="2"/>
        <v>2137.2600000000002</v>
      </c>
    </row>
    <row r="26" spans="1:14" ht="25.5">
      <c r="A26" s="250" t="s">
        <v>152</v>
      </c>
      <c r="B26" s="251" t="s">
        <v>26</v>
      </c>
      <c r="C26" s="252">
        <v>93589</v>
      </c>
      <c r="D26" s="196" t="s">
        <v>146</v>
      </c>
      <c r="E26" s="25" t="s">
        <v>147</v>
      </c>
      <c r="F26" s="255">
        <f>'MC - Ibotirama'!E14</f>
        <v>132.15</v>
      </c>
      <c r="G26" s="254">
        <v>2.08</v>
      </c>
      <c r="H26" s="254">
        <f t="shared" si="3"/>
        <v>2.52</v>
      </c>
      <c r="I26" s="264">
        <f t="shared" si="4"/>
        <v>333.02</v>
      </c>
      <c r="J26" s="266">
        <f t="shared" si="2"/>
        <v>339.01</v>
      </c>
    </row>
    <row r="27" spans="1:14">
      <c r="A27" s="250" t="s">
        <v>153</v>
      </c>
      <c r="B27" s="251" t="s">
        <v>60</v>
      </c>
      <c r="C27" s="252">
        <v>4413942</v>
      </c>
      <c r="D27" s="196" t="s">
        <v>132</v>
      </c>
      <c r="E27" s="25" t="s">
        <v>52</v>
      </c>
      <c r="F27" s="255">
        <f>'MC - Ibotirama'!E15</f>
        <v>13.215</v>
      </c>
      <c r="G27" s="254">
        <v>1.26</v>
      </c>
      <c r="H27" s="254">
        <f t="shared" si="3"/>
        <v>1.53</v>
      </c>
      <c r="I27" s="264">
        <f t="shared" si="4"/>
        <v>20.22</v>
      </c>
      <c r="J27" s="266">
        <f t="shared" si="2"/>
        <v>20.58</v>
      </c>
    </row>
    <row r="28" spans="1:14" ht="15">
      <c r="A28" s="315"/>
      <c r="B28" s="303"/>
      <c r="C28" s="316"/>
      <c r="D28" s="316"/>
      <c r="E28" s="304" t="s">
        <v>48</v>
      </c>
      <c r="F28" s="304"/>
      <c r="G28" s="305"/>
      <c r="H28" s="305"/>
      <c r="I28" s="267">
        <f>SUM(I21:I27)</f>
        <v>9288.67</v>
      </c>
      <c r="J28" s="280">
        <f>SUM(J21:J27)</f>
        <v>9455.86</v>
      </c>
    </row>
    <row r="29" spans="1:14">
      <c r="A29" s="271">
        <v>3</v>
      </c>
      <c r="C29" s="272"/>
      <c r="D29" s="273" t="s">
        <v>113</v>
      </c>
      <c r="E29" s="312"/>
      <c r="F29" s="313"/>
      <c r="G29" s="313"/>
      <c r="H29" s="313"/>
      <c r="I29" s="313"/>
      <c r="J29" s="314"/>
      <c r="L29" s="265">
        <f>L19/I19</f>
        <v>0.44499094589978605</v>
      </c>
      <c r="M29" s="265">
        <f>M19/I19</f>
        <v>0.18834843779254318</v>
      </c>
      <c r="N29" s="265">
        <f>N19/I19</f>
        <v>0.18834843779254318</v>
      </c>
    </row>
    <row r="30" spans="1:14">
      <c r="A30" s="271" t="s">
        <v>49</v>
      </c>
      <c r="B30" s="273" t="s">
        <v>154</v>
      </c>
      <c r="C30" s="272"/>
      <c r="D30" s="274"/>
      <c r="E30" s="312"/>
      <c r="F30" s="313"/>
      <c r="G30" s="313"/>
      <c r="H30" s="313"/>
      <c r="I30" s="313"/>
      <c r="J30" s="314"/>
    </row>
    <row r="31" spans="1:14" ht="25.5">
      <c r="A31" s="250" t="s">
        <v>50</v>
      </c>
      <c r="B31" s="251" t="s">
        <v>26</v>
      </c>
      <c r="C31" s="252">
        <v>93358</v>
      </c>
      <c r="D31" s="196" t="s">
        <v>51</v>
      </c>
      <c r="E31" s="25" t="s">
        <v>52</v>
      </c>
      <c r="F31" s="255">
        <f>'MC - Ibotirama'!E19</f>
        <v>5.0039999999999996</v>
      </c>
      <c r="G31" s="254">
        <v>74.33</v>
      </c>
      <c r="H31" s="254">
        <f t="shared" ref="H31:H36" si="5">ROUND(G31*(1+$D$7),2)</f>
        <v>90.22</v>
      </c>
      <c r="I31" s="264">
        <f t="shared" ref="I31:I36" si="6">ROUND(F31*H31,2)</f>
        <v>451.46</v>
      </c>
      <c r="J31" s="266">
        <f t="shared" ref="J31:J36" si="7">ROUND(I31*(1+$J$9),2)</f>
        <v>459.59</v>
      </c>
    </row>
    <row r="32" spans="1:14" ht="25.5">
      <c r="A32" s="250" t="s">
        <v>53</v>
      </c>
      <c r="B32" s="251" t="s">
        <v>26</v>
      </c>
      <c r="C32" s="252">
        <v>95240</v>
      </c>
      <c r="D32" s="196" t="s">
        <v>65</v>
      </c>
      <c r="E32" s="25" t="s">
        <v>40</v>
      </c>
      <c r="F32" s="255">
        <f>'MC - Ibotirama'!E20</f>
        <v>33.36</v>
      </c>
      <c r="G32" s="254">
        <v>17.43</v>
      </c>
      <c r="H32" s="254">
        <f t="shared" si="5"/>
        <v>21.16</v>
      </c>
      <c r="I32" s="264">
        <f t="shared" si="6"/>
        <v>705.9</v>
      </c>
      <c r="J32" s="266">
        <f t="shared" si="7"/>
        <v>718.61</v>
      </c>
    </row>
    <row r="33" spans="1:17" ht="38.25">
      <c r="A33" s="250" t="s">
        <v>55</v>
      </c>
      <c r="B33" s="251" t="s">
        <v>26</v>
      </c>
      <c r="C33" s="252">
        <v>94278</v>
      </c>
      <c r="D33" s="196" t="s">
        <v>114</v>
      </c>
      <c r="E33" s="25" t="s">
        <v>54</v>
      </c>
      <c r="F33" s="255">
        <f>'MC - Ibotirama'!E21</f>
        <v>222.4</v>
      </c>
      <c r="G33" s="254">
        <v>38.340000000000003</v>
      </c>
      <c r="H33" s="254">
        <f t="shared" si="5"/>
        <v>46.54</v>
      </c>
      <c r="I33" s="264">
        <f t="shared" si="6"/>
        <v>10350.5</v>
      </c>
      <c r="J33" s="266">
        <f t="shared" si="7"/>
        <v>10536.81</v>
      </c>
    </row>
    <row r="34" spans="1:17">
      <c r="A34" s="250" t="s">
        <v>56</v>
      </c>
      <c r="B34" s="251" t="s">
        <v>26</v>
      </c>
      <c r="C34" s="252">
        <v>96995</v>
      </c>
      <c r="D34" s="196" t="s">
        <v>57</v>
      </c>
      <c r="E34" s="25" t="s">
        <v>52</v>
      </c>
      <c r="F34" s="255">
        <f>'MC - Ibotirama'!E22</f>
        <v>3.1358399999999995</v>
      </c>
      <c r="G34" s="254">
        <v>45.06</v>
      </c>
      <c r="H34" s="254">
        <f t="shared" si="5"/>
        <v>54.69</v>
      </c>
      <c r="I34" s="264">
        <f t="shared" si="6"/>
        <v>171.5</v>
      </c>
      <c r="J34" s="266">
        <f t="shared" si="7"/>
        <v>174.59</v>
      </c>
    </row>
    <row r="35" spans="1:17" ht="25.5">
      <c r="A35" s="250" t="s">
        <v>58</v>
      </c>
      <c r="B35" s="251" t="s">
        <v>22</v>
      </c>
      <c r="C35" s="252" t="s">
        <v>69</v>
      </c>
      <c r="D35" s="196" t="s">
        <v>115</v>
      </c>
      <c r="E35" s="25" t="s">
        <v>40</v>
      </c>
      <c r="F35" s="255">
        <f>'MC - Ibotirama'!E23</f>
        <v>177.06</v>
      </c>
      <c r="G35" s="254">
        <f>'CPU 02'!H24</f>
        <v>73.59075399999999</v>
      </c>
      <c r="H35" s="254">
        <f t="shared" si="5"/>
        <v>89.32</v>
      </c>
      <c r="I35" s="264">
        <f t="shared" si="6"/>
        <v>15815</v>
      </c>
      <c r="J35" s="266">
        <f t="shared" si="7"/>
        <v>16099.67</v>
      </c>
    </row>
    <row r="36" spans="1:17" ht="25.5">
      <c r="A36" s="250" t="s">
        <v>59</v>
      </c>
      <c r="B36" s="251" t="s">
        <v>22</v>
      </c>
      <c r="C36" s="252" t="s">
        <v>116</v>
      </c>
      <c r="D36" s="196" t="s">
        <v>117</v>
      </c>
      <c r="E36" s="25" t="s">
        <v>40</v>
      </c>
      <c r="F36" s="255">
        <f>'MC - Ibotirama'!E24</f>
        <v>619.83000000000004</v>
      </c>
      <c r="G36" s="254">
        <f>'CPU 02'!H50</f>
        <v>67.288066999999998</v>
      </c>
      <c r="H36" s="254">
        <f t="shared" si="5"/>
        <v>81.67</v>
      </c>
      <c r="I36" s="264">
        <f t="shared" si="6"/>
        <v>50621.52</v>
      </c>
      <c r="J36" s="266">
        <f t="shared" si="7"/>
        <v>51532.71</v>
      </c>
      <c r="O36" s="203">
        <v>33.25</v>
      </c>
    </row>
    <row r="37" spans="1:17" ht="15">
      <c r="A37" s="315"/>
      <c r="B37" s="303"/>
      <c r="C37" s="316"/>
      <c r="D37" s="316"/>
      <c r="E37" s="304" t="s">
        <v>61</v>
      </c>
      <c r="F37" s="304"/>
      <c r="G37" s="305"/>
      <c r="H37" s="305"/>
      <c r="I37" s="281">
        <f>SUM(I31:I36)</f>
        <v>78115.88</v>
      </c>
      <c r="J37" s="282">
        <f>SUM(J31:J36)</f>
        <v>79521.98</v>
      </c>
      <c r="O37" s="203">
        <f>O36*3</f>
        <v>99.75</v>
      </c>
    </row>
    <row r="38" spans="1:17">
      <c r="A38" s="271" t="s">
        <v>62</v>
      </c>
      <c r="B38" s="273" t="s">
        <v>155</v>
      </c>
      <c r="C38" s="272"/>
      <c r="D38" s="274"/>
      <c r="E38" s="312"/>
      <c r="F38" s="313"/>
      <c r="G38" s="313"/>
      <c r="H38" s="313"/>
      <c r="I38" s="313"/>
      <c r="J38" s="314"/>
    </row>
    <row r="39" spans="1:17" ht="38.25">
      <c r="A39" s="250" t="s">
        <v>63</v>
      </c>
      <c r="B39" s="251" t="s">
        <v>30</v>
      </c>
      <c r="C39" s="252">
        <v>7324</v>
      </c>
      <c r="D39" s="196" t="s">
        <v>118</v>
      </c>
      <c r="E39" s="25" t="s">
        <v>40</v>
      </c>
      <c r="F39" s="255">
        <f>'MC - Ibotirama'!E26</f>
        <v>38.299999999999997</v>
      </c>
      <c r="G39" s="254">
        <v>85.92</v>
      </c>
      <c r="H39" s="254">
        <f>ROUND(G39*(1+$D$7),2)</f>
        <v>104.29</v>
      </c>
      <c r="I39" s="264">
        <f>ROUND(F39*H39,2)</f>
        <v>3994.31</v>
      </c>
      <c r="J39" s="266">
        <f>ROUND(I39*(1+$J$9),2)</f>
        <v>4066.21</v>
      </c>
      <c r="O39" s="283">
        <f>O37*H97</f>
        <v>1904.2275</v>
      </c>
      <c r="P39" s="283">
        <f>O37*H36</f>
        <v>8146.5825000000004</v>
      </c>
      <c r="Q39" s="283">
        <f>O39-P39</f>
        <v>-6242.3550000000005</v>
      </c>
    </row>
    <row r="40" spans="1:17" ht="38.25">
      <c r="A40" s="250" t="s">
        <v>64</v>
      </c>
      <c r="B40" s="251" t="s">
        <v>26</v>
      </c>
      <c r="C40" s="252">
        <v>94990</v>
      </c>
      <c r="D40" s="196" t="s">
        <v>119</v>
      </c>
      <c r="E40" s="25" t="s">
        <v>52</v>
      </c>
      <c r="F40" s="255">
        <f>'MC - Ibotirama'!E27</f>
        <v>10.916999999999998</v>
      </c>
      <c r="G40" s="254">
        <v>772.08</v>
      </c>
      <c r="H40" s="254">
        <f>ROUND(G40*(1+$D$7),2)</f>
        <v>937.14</v>
      </c>
      <c r="I40" s="264">
        <f>ROUND(F40*H40,2)</f>
        <v>10230.76</v>
      </c>
      <c r="J40" s="266">
        <f>ROUND(I40*(1+$J$9),2)</f>
        <v>10414.91</v>
      </c>
    </row>
    <row r="41" spans="1:17">
      <c r="A41" s="250" t="s">
        <v>66</v>
      </c>
      <c r="B41" s="251" t="s">
        <v>22</v>
      </c>
      <c r="C41" s="252" t="s">
        <v>120</v>
      </c>
      <c r="D41" s="196" t="s">
        <v>121</v>
      </c>
      <c r="E41" s="25" t="s">
        <v>52</v>
      </c>
      <c r="F41" s="255">
        <f>'MC - Ibotirama'!E28</f>
        <v>1</v>
      </c>
      <c r="G41" s="254">
        <f>'CPU 02'!H37</f>
        <v>776.31404999999995</v>
      </c>
      <c r="H41" s="254">
        <f>ROUND(G41*(1+$D$7),2)</f>
        <v>942.28</v>
      </c>
      <c r="I41" s="264">
        <f>ROUND(F41*H41,2)</f>
        <v>942.28</v>
      </c>
      <c r="J41" s="266">
        <f>ROUND(I41*(1+$J$9),2)</f>
        <v>959.24</v>
      </c>
    </row>
    <row r="42" spans="1:17" ht="25.5">
      <c r="A42" s="250" t="s">
        <v>67</v>
      </c>
      <c r="B42" s="251" t="s">
        <v>22</v>
      </c>
      <c r="C42" s="252" t="s">
        <v>134</v>
      </c>
      <c r="D42" s="196" t="s">
        <v>156</v>
      </c>
      <c r="E42" s="25" t="s">
        <v>40</v>
      </c>
      <c r="F42" s="255">
        <f>'MC - Ibotirama'!E29</f>
        <v>9</v>
      </c>
      <c r="G42" s="254">
        <f>'CPU 02'!H94</f>
        <v>104.1806</v>
      </c>
      <c r="H42" s="254">
        <f>ROUND(G42*(1+$D$7),2)</f>
        <v>126.45</v>
      </c>
      <c r="I42" s="264">
        <f>ROUND(F42*H42,2)</f>
        <v>1138.05</v>
      </c>
      <c r="J42" s="266">
        <f>ROUND(I42*(1+$J$9),2)</f>
        <v>1158.53</v>
      </c>
    </row>
    <row r="43" spans="1:17">
      <c r="A43" s="250" t="s">
        <v>68</v>
      </c>
      <c r="B43" s="251" t="s">
        <v>26</v>
      </c>
      <c r="C43" s="252">
        <v>99855</v>
      </c>
      <c r="D43" s="196" t="s">
        <v>157</v>
      </c>
      <c r="E43" s="25" t="s">
        <v>54</v>
      </c>
      <c r="F43" s="255">
        <f>'MC - Ibotirama'!E30</f>
        <v>9.6999999999999993</v>
      </c>
      <c r="G43" s="254">
        <v>126.84</v>
      </c>
      <c r="H43" s="254">
        <f>ROUND(G43*(1+$D$7),2)</f>
        <v>153.96</v>
      </c>
      <c r="I43" s="264">
        <f>ROUND(F43*H43,2)</f>
        <v>1493.41</v>
      </c>
      <c r="J43" s="266">
        <f>ROUND(I43*(1+$J$9),2)</f>
        <v>1520.29</v>
      </c>
    </row>
    <row r="44" spans="1:17" ht="15">
      <c r="A44" s="315"/>
      <c r="B44" s="303"/>
      <c r="C44" s="316"/>
      <c r="D44" s="316"/>
      <c r="E44" s="304" t="s">
        <v>70</v>
      </c>
      <c r="F44" s="304"/>
      <c r="G44" s="305"/>
      <c r="H44" s="305"/>
      <c r="I44" s="281">
        <f>SUM(I39:I43)</f>
        <v>17798.810000000001</v>
      </c>
      <c r="J44" s="282">
        <f>SUM(J39:J43)</f>
        <v>18119.18</v>
      </c>
    </row>
    <row r="45" spans="1:17" ht="15">
      <c r="A45" s="315"/>
      <c r="B45" s="303"/>
      <c r="C45" s="316"/>
      <c r="D45" s="316"/>
      <c r="E45" s="304" t="s">
        <v>71</v>
      </c>
      <c r="F45" s="304"/>
      <c r="G45" s="305"/>
      <c r="H45" s="305"/>
      <c r="I45" s="267">
        <f>I37+I44</f>
        <v>95914.69</v>
      </c>
      <c r="J45" s="280">
        <f>J37+J44</f>
        <v>97641.16</v>
      </c>
    </row>
    <row r="46" spans="1:17">
      <c r="A46" s="271">
        <v>4</v>
      </c>
      <c r="C46" s="272"/>
      <c r="D46" s="273" t="s">
        <v>158</v>
      </c>
      <c r="E46" s="312"/>
      <c r="F46" s="313"/>
      <c r="G46" s="313"/>
      <c r="H46" s="313"/>
      <c r="I46" s="313"/>
      <c r="J46" s="314"/>
    </row>
    <row r="47" spans="1:17">
      <c r="A47" s="271" t="s">
        <v>72</v>
      </c>
      <c r="B47" s="273" t="s">
        <v>159</v>
      </c>
      <c r="C47" s="272"/>
      <c r="D47" s="274"/>
      <c r="E47" s="312"/>
      <c r="F47" s="313"/>
      <c r="G47" s="313"/>
      <c r="H47" s="313"/>
      <c r="I47" s="313"/>
      <c r="J47" s="314"/>
    </row>
    <row r="48" spans="1:17">
      <c r="A48" s="250" t="s">
        <v>160</v>
      </c>
      <c r="B48" s="251" t="s">
        <v>26</v>
      </c>
      <c r="C48" s="252">
        <v>96521</v>
      </c>
      <c r="D48" s="196" t="s">
        <v>161</v>
      </c>
      <c r="E48" s="25" t="s">
        <v>52</v>
      </c>
      <c r="F48" s="255">
        <f>'MC - Ibotirama'!E34</f>
        <v>10.6</v>
      </c>
      <c r="G48" s="254">
        <v>42.62</v>
      </c>
      <c r="H48" s="254">
        <f t="shared" ref="H48:H54" si="8">ROUND(G48*(1+$D$7),2)</f>
        <v>51.73</v>
      </c>
      <c r="I48" s="264">
        <f t="shared" ref="I48:I54" si="9">ROUND(F48*H48,2)</f>
        <v>548.34</v>
      </c>
      <c r="J48" s="266">
        <f t="shared" ref="J48:J54" si="10">ROUND(I48*(1+$J$9),2)</f>
        <v>558.21</v>
      </c>
    </row>
    <row r="49" spans="1:10" ht="25.5">
      <c r="A49" s="250" t="s">
        <v>162</v>
      </c>
      <c r="B49" s="251" t="s">
        <v>30</v>
      </c>
      <c r="C49" s="252">
        <v>11636</v>
      </c>
      <c r="D49" s="196" t="s">
        <v>163</v>
      </c>
      <c r="E49" s="25" t="s">
        <v>164</v>
      </c>
      <c r="F49" s="255">
        <f>'MC - Ibotirama'!E35</f>
        <v>52.379999999999995</v>
      </c>
      <c r="G49" s="254">
        <v>103.9</v>
      </c>
      <c r="H49" s="254">
        <f t="shared" si="8"/>
        <v>126.11</v>
      </c>
      <c r="I49" s="264">
        <f t="shared" si="9"/>
        <v>6605.64</v>
      </c>
      <c r="J49" s="266">
        <f t="shared" si="10"/>
        <v>6724.54</v>
      </c>
    </row>
    <row r="50" spans="1:10" ht="25.5">
      <c r="A50" s="250" t="s">
        <v>165</v>
      </c>
      <c r="B50" s="251" t="s">
        <v>26</v>
      </c>
      <c r="C50" s="252">
        <v>95241</v>
      </c>
      <c r="D50" s="196" t="s">
        <v>166</v>
      </c>
      <c r="E50" s="25" t="s">
        <v>40</v>
      </c>
      <c r="F50" s="255">
        <f>'MC - Ibotirama'!E36</f>
        <v>1.0164999999999997</v>
      </c>
      <c r="G50" s="254">
        <v>29.07</v>
      </c>
      <c r="H50" s="254">
        <f t="shared" si="8"/>
        <v>35.28</v>
      </c>
      <c r="I50" s="264">
        <f t="shared" si="9"/>
        <v>35.86</v>
      </c>
      <c r="J50" s="266">
        <f t="shared" si="10"/>
        <v>36.51</v>
      </c>
    </row>
    <row r="51" spans="1:10" ht="25.5">
      <c r="A51" s="250" t="s">
        <v>167</v>
      </c>
      <c r="B51" s="251" t="s">
        <v>26</v>
      </c>
      <c r="C51" s="252">
        <v>92763</v>
      </c>
      <c r="D51" s="196" t="s">
        <v>168</v>
      </c>
      <c r="E51" s="25" t="s">
        <v>169</v>
      </c>
      <c r="F51" s="255">
        <f>'MC - Ibotirama'!E37</f>
        <v>487.91999999999985</v>
      </c>
      <c r="G51" s="254">
        <v>12.44</v>
      </c>
      <c r="H51" s="254">
        <f t="shared" si="8"/>
        <v>15.1</v>
      </c>
      <c r="I51" s="264">
        <f t="shared" si="9"/>
        <v>7367.59</v>
      </c>
      <c r="J51" s="266">
        <f t="shared" si="10"/>
        <v>7500.21</v>
      </c>
    </row>
    <row r="52" spans="1:10" ht="25.5">
      <c r="A52" s="250" t="s">
        <v>170</v>
      </c>
      <c r="B52" s="251" t="s">
        <v>26</v>
      </c>
      <c r="C52" s="252">
        <v>94965</v>
      </c>
      <c r="D52" s="196" t="s">
        <v>171</v>
      </c>
      <c r="E52" s="25" t="s">
        <v>52</v>
      </c>
      <c r="F52" s="255">
        <f>'MC - Ibotirama'!E38</f>
        <v>6.0989999999999984</v>
      </c>
      <c r="G52" s="254">
        <v>468.13</v>
      </c>
      <c r="H52" s="254">
        <f t="shared" si="8"/>
        <v>568.21</v>
      </c>
      <c r="I52" s="264">
        <f t="shared" si="9"/>
        <v>3465.51</v>
      </c>
      <c r="J52" s="266">
        <f t="shared" si="10"/>
        <v>3527.89</v>
      </c>
    </row>
    <row r="53" spans="1:10">
      <c r="A53" s="250" t="s">
        <v>172</v>
      </c>
      <c r="B53" s="251" t="s">
        <v>26</v>
      </c>
      <c r="C53" s="252">
        <v>96995</v>
      </c>
      <c r="D53" s="196" t="s">
        <v>57</v>
      </c>
      <c r="E53" s="25" t="s">
        <v>52</v>
      </c>
      <c r="F53" s="255">
        <f>'MC - Ibotirama'!E39</f>
        <v>3.4845000000000015</v>
      </c>
      <c r="G53" s="254">
        <v>45.06</v>
      </c>
      <c r="H53" s="254">
        <f t="shared" si="8"/>
        <v>54.69</v>
      </c>
      <c r="I53" s="264">
        <f t="shared" si="9"/>
        <v>190.57</v>
      </c>
      <c r="J53" s="266">
        <f t="shared" si="10"/>
        <v>194</v>
      </c>
    </row>
    <row r="54" spans="1:10" ht="25.5">
      <c r="A54" s="250" t="s">
        <v>173</v>
      </c>
      <c r="B54" s="251" t="s">
        <v>30</v>
      </c>
      <c r="C54" s="252">
        <v>4953</v>
      </c>
      <c r="D54" s="196" t="s">
        <v>174</v>
      </c>
      <c r="E54" s="25" t="s">
        <v>52</v>
      </c>
      <c r="F54" s="255">
        <f>'MC - Ibotirama'!E40</f>
        <v>25.439999999999998</v>
      </c>
      <c r="G54" s="254">
        <v>21.73</v>
      </c>
      <c r="H54" s="254">
        <f t="shared" si="8"/>
        <v>26.38</v>
      </c>
      <c r="I54" s="264">
        <f t="shared" si="9"/>
        <v>671.11</v>
      </c>
      <c r="J54" s="266">
        <f t="shared" si="10"/>
        <v>683.19</v>
      </c>
    </row>
    <row r="55" spans="1:10" ht="15">
      <c r="A55" s="250"/>
      <c r="B55" s="251"/>
      <c r="C55" s="275"/>
      <c r="D55" s="276"/>
      <c r="E55" s="304" t="s">
        <v>175</v>
      </c>
      <c r="F55" s="304"/>
      <c r="G55" s="305"/>
      <c r="H55" s="305"/>
      <c r="I55" s="281">
        <f>SUM(I48:I54)</f>
        <v>18884.620000000003</v>
      </c>
      <c r="J55" s="282">
        <f>SUM(J48:J54)</f>
        <v>19224.55</v>
      </c>
    </row>
    <row r="56" spans="1:10">
      <c r="A56" s="271" t="s">
        <v>73</v>
      </c>
      <c r="B56" s="273" t="s">
        <v>176</v>
      </c>
      <c r="C56" s="272"/>
      <c r="D56" s="274"/>
      <c r="E56" s="312"/>
      <c r="F56" s="313"/>
      <c r="G56" s="313"/>
      <c r="H56" s="313"/>
      <c r="I56" s="313"/>
      <c r="J56" s="314"/>
    </row>
    <row r="57" spans="1:10" ht="38.25">
      <c r="A57" s="250" t="s">
        <v>177</v>
      </c>
      <c r="B57" s="251" t="s">
        <v>26</v>
      </c>
      <c r="C57" s="252">
        <v>89285</v>
      </c>
      <c r="D57" s="196" t="s">
        <v>178</v>
      </c>
      <c r="E57" s="25" t="s">
        <v>40</v>
      </c>
      <c r="F57" s="255">
        <f>'MC - Ibotirama'!E42</f>
        <v>21.2</v>
      </c>
      <c r="G57" s="254">
        <v>64.39</v>
      </c>
      <c r="H57" s="254">
        <f>ROUND(G57*(1+$D$7),2)</f>
        <v>78.16</v>
      </c>
      <c r="I57" s="264">
        <f>ROUND(F57*H57,2)</f>
        <v>1656.99</v>
      </c>
      <c r="J57" s="266">
        <f>ROUND(I57*(1+$J$9),2)</f>
        <v>1686.82</v>
      </c>
    </row>
    <row r="58" spans="1:10">
      <c r="A58" s="250" t="s">
        <v>179</v>
      </c>
      <c r="B58" s="251" t="s">
        <v>26</v>
      </c>
      <c r="C58" s="252">
        <v>87879</v>
      </c>
      <c r="D58" s="196" t="s">
        <v>180</v>
      </c>
      <c r="E58" s="25" t="s">
        <v>40</v>
      </c>
      <c r="F58" s="255">
        <f>'MC - Ibotirama'!E43</f>
        <v>21.2</v>
      </c>
      <c r="G58" s="254">
        <v>4.24</v>
      </c>
      <c r="H58" s="254">
        <f>ROUND(G58*(1+$D$7),2)</f>
        <v>5.15</v>
      </c>
      <c r="I58" s="264">
        <f>ROUND(F58*H58,2)</f>
        <v>109.18</v>
      </c>
      <c r="J58" s="266">
        <f>ROUND(I58*(1+$J$9),2)</f>
        <v>111.15</v>
      </c>
    </row>
    <row r="59" spans="1:10">
      <c r="A59" s="250" t="s">
        <v>181</v>
      </c>
      <c r="B59" s="251" t="s">
        <v>26</v>
      </c>
      <c r="C59" s="252">
        <v>87529</v>
      </c>
      <c r="D59" s="196" t="s">
        <v>182</v>
      </c>
      <c r="E59" s="25" t="s">
        <v>40</v>
      </c>
      <c r="F59" s="255">
        <f>'MC - Ibotirama'!E44</f>
        <v>21.2</v>
      </c>
      <c r="G59" s="254">
        <v>37.799999999999997</v>
      </c>
      <c r="H59" s="254">
        <f>ROUND(G59*(1+$D$7),2)</f>
        <v>45.88</v>
      </c>
      <c r="I59" s="264">
        <f>ROUND(F59*H59,2)</f>
        <v>972.66</v>
      </c>
      <c r="J59" s="266">
        <f>ROUND(I59*(1+$J$9),2)</f>
        <v>990.17</v>
      </c>
    </row>
    <row r="60" spans="1:10" ht="15">
      <c r="A60" s="315"/>
      <c r="B60" s="303"/>
      <c r="C60" s="316"/>
      <c r="D60" s="316"/>
      <c r="E60" s="304" t="s">
        <v>183</v>
      </c>
      <c r="F60" s="304"/>
      <c r="G60" s="305"/>
      <c r="H60" s="305"/>
      <c r="I60" s="281">
        <f>SUM(I57:I59)</f>
        <v>2738.83</v>
      </c>
      <c r="J60" s="282">
        <f>SUM(J57:J59)</f>
        <v>2788.14</v>
      </c>
    </row>
    <row r="61" spans="1:10">
      <c r="A61" s="271" t="s">
        <v>124</v>
      </c>
      <c r="B61" s="273" t="s">
        <v>184</v>
      </c>
      <c r="C61" s="272"/>
      <c r="D61" s="274"/>
      <c r="E61" s="312"/>
      <c r="F61" s="313"/>
      <c r="G61" s="313"/>
      <c r="H61" s="313"/>
      <c r="I61" s="313"/>
      <c r="J61" s="314"/>
    </row>
    <row r="62" spans="1:10" ht="25.5">
      <c r="A62" s="250" t="s">
        <v>185</v>
      </c>
      <c r="B62" s="251" t="s">
        <v>30</v>
      </c>
      <c r="C62" s="252">
        <v>96385</v>
      </c>
      <c r="D62" s="196" t="s">
        <v>186</v>
      </c>
      <c r="E62" s="25" t="s">
        <v>145</v>
      </c>
      <c r="F62" s="255">
        <f>'MC - Ibotirama'!E46</f>
        <v>52.935000000000002</v>
      </c>
      <c r="G62" s="254">
        <v>8.89</v>
      </c>
      <c r="H62" s="254">
        <f>ROUND(G62*(1+$D$7),2)</f>
        <v>10.79</v>
      </c>
      <c r="I62" s="264">
        <f>ROUND(F62*H62,2)</f>
        <v>571.16999999999996</v>
      </c>
      <c r="J62" s="266">
        <f>ROUND(I62*(1+$J$9),2)</f>
        <v>581.45000000000005</v>
      </c>
    </row>
    <row r="63" spans="1:10" ht="25.5">
      <c r="A63" s="250" t="s">
        <v>187</v>
      </c>
      <c r="B63" s="251" t="s">
        <v>26</v>
      </c>
      <c r="C63" s="252">
        <v>93589</v>
      </c>
      <c r="D63" s="196" t="s">
        <v>146</v>
      </c>
      <c r="E63" s="25" t="s">
        <v>147</v>
      </c>
      <c r="F63" s="255">
        <f>'MC - Ibotirama'!E47</f>
        <v>529.35</v>
      </c>
      <c r="G63" s="254">
        <v>2.08</v>
      </c>
      <c r="H63" s="254">
        <f>ROUND(G63*(1+$D$7),2)</f>
        <v>2.52</v>
      </c>
      <c r="I63" s="264">
        <f>ROUND(F63*H63,2)</f>
        <v>1333.96</v>
      </c>
      <c r="J63" s="266">
        <f>ROUND(I63*(1+$J$9),2)</f>
        <v>1357.97</v>
      </c>
    </row>
    <row r="64" spans="1:10" ht="38.25">
      <c r="A64" s="250" t="s">
        <v>188</v>
      </c>
      <c r="B64" s="251" t="s">
        <v>26</v>
      </c>
      <c r="C64" s="252">
        <v>100974</v>
      </c>
      <c r="D64" s="196" t="s">
        <v>149</v>
      </c>
      <c r="E64" s="25" t="s">
        <v>145</v>
      </c>
      <c r="F64" s="255">
        <f>'MC - Ibotirama'!E48</f>
        <v>52.935000000000002</v>
      </c>
      <c r="G64" s="254">
        <v>7.13</v>
      </c>
      <c r="H64" s="254">
        <f>ROUND(G64*(1+$D$7),2)</f>
        <v>8.65</v>
      </c>
      <c r="I64" s="264">
        <f>ROUND(F64*H64,2)</f>
        <v>457.89</v>
      </c>
      <c r="J64" s="266">
        <f>ROUND(I64*(1+$J$9),2)</f>
        <v>466.13</v>
      </c>
    </row>
    <row r="65" spans="1:13" ht="15">
      <c r="A65" s="315"/>
      <c r="B65" s="303"/>
      <c r="C65" s="316"/>
      <c r="D65" s="316"/>
      <c r="E65" s="304" t="s">
        <v>189</v>
      </c>
      <c r="F65" s="304"/>
      <c r="G65" s="305"/>
      <c r="H65" s="305"/>
      <c r="I65" s="281">
        <f>SUM(I62:I64)</f>
        <v>2363.02</v>
      </c>
      <c r="J65" s="282">
        <f>SUM(J62:J64)</f>
        <v>2405.5500000000002</v>
      </c>
    </row>
    <row r="66" spans="1:13">
      <c r="A66" s="271" t="s">
        <v>126</v>
      </c>
      <c r="B66" s="273" t="s">
        <v>190</v>
      </c>
      <c r="C66" s="272"/>
      <c r="D66" s="274"/>
      <c r="E66" s="312"/>
      <c r="F66" s="313"/>
      <c r="G66" s="313"/>
      <c r="H66" s="313"/>
      <c r="I66" s="313"/>
      <c r="J66" s="314"/>
    </row>
    <row r="67" spans="1:13" ht="25.5">
      <c r="A67" s="250" t="s">
        <v>191</v>
      </c>
      <c r="B67" s="251" t="s">
        <v>26</v>
      </c>
      <c r="C67" s="252">
        <v>95241</v>
      </c>
      <c r="D67" s="196" t="s">
        <v>166</v>
      </c>
      <c r="E67" s="25" t="s">
        <v>40</v>
      </c>
      <c r="F67" s="255">
        <f>'MC - Ibotirama'!E50</f>
        <v>105.87</v>
      </c>
      <c r="G67" s="254">
        <v>29.07</v>
      </c>
      <c r="H67" s="254">
        <f t="shared" ref="H67:H75" si="11">ROUND(G67*(1+$D$7),2)</f>
        <v>35.28</v>
      </c>
      <c r="I67" s="264">
        <f t="shared" ref="I67:I75" si="12">ROUND(F67*H67,2)</f>
        <v>3735.09</v>
      </c>
      <c r="J67" s="266">
        <f t="shared" ref="J67:J75" si="13">ROUND(I67*(1+$J$9),2)</f>
        <v>3802.32</v>
      </c>
    </row>
    <row r="68" spans="1:13">
      <c r="A68" s="250" t="s">
        <v>192</v>
      </c>
      <c r="B68" s="251" t="s">
        <v>30</v>
      </c>
      <c r="C68" s="252">
        <v>8678</v>
      </c>
      <c r="D68" s="196" t="s">
        <v>193</v>
      </c>
      <c r="E68" s="25" t="s">
        <v>40</v>
      </c>
      <c r="F68" s="255">
        <f>'MC - Ibotirama'!E51</f>
        <v>105.87</v>
      </c>
      <c r="G68" s="254">
        <v>27.58</v>
      </c>
      <c r="H68" s="254">
        <f t="shared" si="11"/>
        <v>33.479999999999997</v>
      </c>
      <c r="I68" s="264">
        <f t="shared" si="12"/>
        <v>3544.53</v>
      </c>
      <c r="J68" s="266">
        <f t="shared" si="13"/>
        <v>3608.33</v>
      </c>
    </row>
    <row r="69" spans="1:13" ht="15">
      <c r="A69" s="315"/>
      <c r="B69" s="303"/>
      <c r="C69" s="316"/>
      <c r="D69" s="316"/>
      <c r="E69" s="304" t="s">
        <v>189</v>
      </c>
      <c r="F69" s="304"/>
      <c r="G69" s="305"/>
      <c r="H69" s="305"/>
      <c r="I69" s="281">
        <f>SUM(I67:I68)</f>
        <v>7279.6200000000008</v>
      </c>
      <c r="J69" s="282">
        <f>SUM(J67:J68)</f>
        <v>7410.65</v>
      </c>
    </row>
    <row r="70" spans="1:13">
      <c r="A70" s="271" t="s">
        <v>128</v>
      </c>
      <c r="B70" s="273" t="s">
        <v>194</v>
      </c>
      <c r="C70" s="272"/>
      <c r="D70" s="274"/>
      <c r="E70" s="312"/>
      <c r="F70" s="313"/>
      <c r="G70" s="313"/>
      <c r="H70" s="313"/>
      <c r="I70" s="313"/>
      <c r="J70" s="314"/>
    </row>
    <row r="71" spans="1:13" ht="25.5">
      <c r="A71" s="250" t="s">
        <v>195</v>
      </c>
      <c r="B71" s="251" t="s">
        <v>30</v>
      </c>
      <c r="C71" s="252">
        <v>7312</v>
      </c>
      <c r="D71" s="196" t="s">
        <v>196</v>
      </c>
      <c r="E71" s="25" t="s">
        <v>46</v>
      </c>
      <c r="F71" s="255">
        <f>'MC - Ibotirama'!E53</f>
        <v>127.5</v>
      </c>
      <c r="G71" s="254">
        <v>6.01</v>
      </c>
      <c r="H71" s="254">
        <f t="shared" si="11"/>
        <v>7.29</v>
      </c>
      <c r="I71" s="264">
        <f t="shared" si="12"/>
        <v>929.48</v>
      </c>
      <c r="J71" s="266">
        <f t="shared" si="13"/>
        <v>946.21</v>
      </c>
    </row>
    <row r="72" spans="1:13" ht="38.25">
      <c r="A72" s="250" t="s">
        <v>197</v>
      </c>
      <c r="B72" s="251" t="s">
        <v>30</v>
      </c>
      <c r="C72" s="252">
        <v>12510</v>
      </c>
      <c r="D72" s="196" t="s">
        <v>198</v>
      </c>
      <c r="E72" s="25" t="s">
        <v>46</v>
      </c>
      <c r="F72" s="255">
        <f>'MC - Ibotirama'!E54</f>
        <v>127.5</v>
      </c>
      <c r="G72" s="254">
        <v>173.37</v>
      </c>
      <c r="H72" s="254">
        <f t="shared" si="11"/>
        <v>210.43</v>
      </c>
      <c r="I72" s="264">
        <f t="shared" si="12"/>
        <v>26829.83</v>
      </c>
      <c r="J72" s="266">
        <f t="shared" si="13"/>
        <v>27312.77</v>
      </c>
    </row>
    <row r="73" spans="1:13" ht="51">
      <c r="A73" s="250" t="s">
        <v>199</v>
      </c>
      <c r="B73" s="251" t="s">
        <v>30</v>
      </c>
      <c r="C73" s="252">
        <v>12411</v>
      </c>
      <c r="D73" s="196" t="s">
        <v>200</v>
      </c>
      <c r="E73" s="25" t="s">
        <v>54</v>
      </c>
      <c r="F73" s="255">
        <f>'MC - Ibotirama'!E55</f>
        <v>30</v>
      </c>
      <c r="G73" s="254">
        <v>468.57</v>
      </c>
      <c r="H73" s="254">
        <f t="shared" si="11"/>
        <v>568.74</v>
      </c>
      <c r="I73" s="264">
        <f t="shared" si="12"/>
        <v>17062.2</v>
      </c>
      <c r="J73" s="266">
        <f t="shared" si="13"/>
        <v>17369.32</v>
      </c>
    </row>
    <row r="74" spans="1:13" ht="25.5">
      <c r="A74" s="250" t="s">
        <v>201</v>
      </c>
      <c r="B74" s="251" t="s">
        <v>30</v>
      </c>
      <c r="C74" s="252">
        <v>12721</v>
      </c>
      <c r="D74" s="196" t="s">
        <v>202</v>
      </c>
      <c r="E74" s="25" t="s">
        <v>203</v>
      </c>
      <c r="F74" s="255">
        <f>'MC - Ibotirama'!E56</f>
        <v>127.5</v>
      </c>
      <c r="G74" s="254">
        <v>192.11</v>
      </c>
      <c r="H74" s="254">
        <f t="shared" si="11"/>
        <v>233.18</v>
      </c>
      <c r="I74" s="264">
        <f t="shared" si="12"/>
        <v>29730.45</v>
      </c>
      <c r="J74" s="266">
        <f t="shared" si="13"/>
        <v>30265.599999999999</v>
      </c>
    </row>
    <row r="75" spans="1:13" ht="25.5">
      <c r="A75" s="250" t="s">
        <v>204</v>
      </c>
      <c r="B75" s="251" t="s">
        <v>30</v>
      </c>
      <c r="C75" s="252">
        <v>9836</v>
      </c>
      <c r="D75" s="196" t="s">
        <v>205</v>
      </c>
      <c r="E75" s="25" t="s">
        <v>203</v>
      </c>
      <c r="F75" s="255">
        <f>'MC - Ibotirama'!E57</f>
        <v>55.103999999999999</v>
      </c>
      <c r="G75" s="254">
        <v>233.88</v>
      </c>
      <c r="H75" s="254">
        <f t="shared" si="11"/>
        <v>283.88</v>
      </c>
      <c r="I75" s="264">
        <f t="shared" si="12"/>
        <v>15642.92</v>
      </c>
      <c r="J75" s="266">
        <f t="shared" si="13"/>
        <v>15924.49</v>
      </c>
      <c r="M75" s="203">
        <v>45.92</v>
      </c>
    </row>
    <row r="76" spans="1:13" ht="15">
      <c r="A76" s="315"/>
      <c r="B76" s="303"/>
      <c r="C76" s="316"/>
      <c r="D76" s="316"/>
      <c r="E76" s="304" t="s">
        <v>206</v>
      </c>
      <c r="F76" s="304"/>
      <c r="G76" s="305"/>
      <c r="H76" s="305"/>
      <c r="I76" s="281">
        <f>SUM(I71:I75)</f>
        <v>90194.880000000005</v>
      </c>
      <c r="J76" s="282">
        <f>SUM(J71:J75)</f>
        <v>91818.39</v>
      </c>
    </row>
    <row r="77" spans="1:13" ht="15">
      <c r="A77" s="250"/>
      <c r="B77" s="251"/>
      <c r="C77" s="195"/>
      <c r="D77" s="276"/>
      <c r="E77" s="304" t="s">
        <v>75</v>
      </c>
      <c r="F77" s="304"/>
      <c r="G77" s="305"/>
      <c r="H77" s="305"/>
      <c r="I77" s="267">
        <f>I55+I60+I65+I69+I76</f>
        <v>121460.97</v>
      </c>
      <c r="J77" s="280">
        <f>J55+J60+J65+J69+J76</f>
        <v>123647.28</v>
      </c>
    </row>
    <row r="78" spans="1:13">
      <c r="A78" s="271">
        <v>5</v>
      </c>
      <c r="B78" s="284"/>
      <c r="C78" s="285"/>
      <c r="D78" s="273" t="s">
        <v>122</v>
      </c>
      <c r="E78" s="312"/>
      <c r="F78" s="313"/>
      <c r="G78" s="313"/>
      <c r="H78" s="313"/>
      <c r="I78" s="313"/>
      <c r="J78" s="314"/>
    </row>
    <row r="79" spans="1:13" ht="25.5">
      <c r="A79" s="250" t="s">
        <v>76</v>
      </c>
      <c r="B79" s="251" t="s">
        <v>30</v>
      </c>
      <c r="C79" s="252">
        <v>11137</v>
      </c>
      <c r="D79" s="196" t="s">
        <v>123</v>
      </c>
      <c r="E79" s="25" t="s">
        <v>34</v>
      </c>
      <c r="F79" s="255">
        <f>'MC - Ibotirama'!E60</f>
        <v>1</v>
      </c>
      <c r="G79" s="254">
        <v>2017.17</v>
      </c>
      <c r="H79" s="254">
        <f t="shared" ref="H79:H88" si="14">ROUND(G79*(1+$D$7),2)</f>
        <v>2448.4</v>
      </c>
      <c r="I79" s="264">
        <f t="shared" ref="I79:I88" si="15">ROUND(F79*H79,2)</f>
        <v>2448.4</v>
      </c>
      <c r="J79" s="266">
        <f t="shared" ref="J79:J94" si="16">ROUND(I79*(1+$J$9),2)</f>
        <v>2492.4699999999998</v>
      </c>
    </row>
    <row r="80" spans="1:13">
      <c r="A80" s="250" t="s">
        <v>78</v>
      </c>
      <c r="B80" s="251" t="s">
        <v>26</v>
      </c>
      <c r="C80" s="252">
        <v>96521</v>
      </c>
      <c r="D80" s="196" t="s">
        <v>161</v>
      </c>
      <c r="E80" s="25" t="s">
        <v>52</v>
      </c>
      <c r="F80" s="255">
        <f>'MC - Ibotirama'!E61</f>
        <v>2.7386999999999997</v>
      </c>
      <c r="G80" s="254">
        <v>42.62</v>
      </c>
      <c r="H80" s="254">
        <f t="shared" si="14"/>
        <v>51.73</v>
      </c>
      <c r="I80" s="264">
        <f t="shared" si="15"/>
        <v>141.66999999999999</v>
      </c>
      <c r="J80" s="266">
        <f t="shared" si="16"/>
        <v>144.22</v>
      </c>
    </row>
    <row r="81" spans="1:13">
      <c r="A81" s="250" t="s">
        <v>79</v>
      </c>
      <c r="B81" s="251" t="s">
        <v>26</v>
      </c>
      <c r="C81" s="252">
        <v>96995</v>
      </c>
      <c r="D81" s="196" t="s">
        <v>127</v>
      </c>
      <c r="E81" s="25" t="s">
        <v>77</v>
      </c>
      <c r="F81" s="255">
        <f>'MC - Ibotirama'!E62</f>
        <v>2.2735811483861244</v>
      </c>
      <c r="G81" s="254">
        <v>45.06</v>
      </c>
      <c r="H81" s="254">
        <f t="shared" si="14"/>
        <v>54.69</v>
      </c>
      <c r="I81" s="264">
        <f t="shared" si="15"/>
        <v>124.34</v>
      </c>
      <c r="J81" s="266">
        <f t="shared" si="16"/>
        <v>126.58</v>
      </c>
    </row>
    <row r="82" spans="1:13">
      <c r="A82" s="250" t="s">
        <v>80</v>
      </c>
      <c r="B82" s="251" t="s">
        <v>30</v>
      </c>
      <c r="C82" s="252">
        <v>3212</v>
      </c>
      <c r="D82" s="196" t="s">
        <v>125</v>
      </c>
      <c r="E82" s="25" t="s">
        <v>77</v>
      </c>
      <c r="F82" s="255">
        <f>'MC - Ibotirama'!E63</f>
        <v>0.45645000000000002</v>
      </c>
      <c r="G82" s="254">
        <v>133.38999999999999</v>
      </c>
      <c r="H82" s="254">
        <f t="shared" si="14"/>
        <v>161.91</v>
      </c>
      <c r="I82" s="264">
        <f t="shared" si="15"/>
        <v>73.900000000000006</v>
      </c>
      <c r="J82" s="266">
        <f t="shared" si="16"/>
        <v>75.23</v>
      </c>
    </row>
    <row r="83" spans="1:13" ht="25.5">
      <c r="A83" s="250" t="s">
        <v>81</v>
      </c>
      <c r="B83" s="251" t="s">
        <v>26</v>
      </c>
      <c r="C83" s="252">
        <v>93670</v>
      </c>
      <c r="D83" s="196" t="s">
        <v>207</v>
      </c>
      <c r="E83" s="25" t="s">
        <v>14</v>
      </c>
      <c r="F83" s="255">
        <f>'MC - Ibotirama'!E64</f>
        <v>1</v>
      </c>
      <c r="G83" s="254">
        <v>79.5</v>
      </c>
      <c r="H83" s="254">
        <f t="shared" si="14"/>
        <v>96.5</v>
      </c>
      <c r="I83" s="264">
        <f t="shared" si="15"/>
        <v>96.5</v>
      </c>
      <c r="J83" s="266">
        <f t="shared" si="16"/>
        <v>98.24</v>
      </c>
    </row>
    <row r="84" spans="1:13" ht="25.5">
      <c r="A84" s="250" t="s">
        <v>83</v>
      </c>
      <c r="B84" s="251" t="s">
        <v>26</v>
      </c>
      <c r="C84" s="252">
        <v>93667</v>
      </c>
      <c r="D84" s="196" t="s">
        <v>82</v>
      </c>
      <c r="E84" s="25" t="s">
        <v>14</v>
      </c>
      <c r="F84" s="255">
        <f>'MC - Ibotirama'!E65</f>
        <v>1</v>
      </c>
      <c r="G84" s="254">
        <v>74.260000000000005</v>
      </c>
      <c r="H84" s="254">
        <f t="shared" si="14"/>
        <v>90.14</v>
      </c>
      <c r="I84" s="264">
        <f t="shared" si="15"/>
        <v>90.14</v>
      </c>
      <c r="J84" s="266">
        <f t="shared" si="16"/>
        <v>91.76</v>
      </c>
    </row>
    <row r="85" spans="1:13">
      <c r="A85" s="250" t="s">
        <v>85</v>
      </c>
      <c r="B85" s="251" t="s">
        <v>26</v>
      </c>
      <c r="C85" s="252">
        <v>91865</v>
      </c>
      <c r="D85" s="196" t="s">
        <v>84</v>
      </c>
      <c r="E85" s="25" t="s">
        <v>54</v>
      </c>
      <c r="F85" s="255">
        <f>'MC - Ibotirama'!E66</f>
        <v>5</v>
      </c>
      <c r="G85" s="254">
        <v>17.73</v>
      </c>
      <c r="H85" s="254">
        <f t="shared" si="14"/>
        <v>21.52</v>
      </c>
      <c r="I85" s="264">
        <f t="shared" si="15"/>
        <v>107.6</v>
      </c>
      <c r="J85" s="266">
        <f t="shared" si="16"/>
        <v>109.54</v>
      </c>
    </row>
    <row r="86" spans="1:13">
      <c r="A86" s="250" t="s">
        <v>87</v>
      </c>
      <c r="B86" s="251" t="s">
        <v>26</v>
      </c>
      <c r="C86" s="252">
        <v>91863</v>
      </c>
      <c r="D86" s="196" t="s">
        <v>86</v>
      </c>
      <c r="E86" s="25" t="s">
        <v>54</v>
      </c>
      <c r="F86" s="255">
        <f>'MC - Ibotirama'!E67</f>
        <v>25.43</v>
      </c>
      <c r="G86" s="254">
        <v>10.84</v>
      </c>
      <c r="H86" s="254">
        <f t="shared" si="14"/>
        <v>13.16</v>
      </c>
      <c r="I86" s="264">
        <f t="shared" si="15"/>
        <v>334.66</v>
      </c>
      <c r="J86" s="266">
        <f t="shared" si="16"/>
        <v>340.68</v>
      </c>
    </row>
    <row r="87" spans="1:13" ht="25.5">
      <c r="A87" s="250" t="s">
        <v>90</v>
      </c>
      <c r="B87" s="251" t="s">
        <v>30</v>
      </c>
      <c r="C87" s="252">
        <v>7237</v>
      </c>
      <c r="D87" s="196" t="s">
        <v>88</v>
      </c>
      <c r="E87" s="25" t="s">
        <v>89</v>
      </c>
      <c r="F87" s="255">
        <f>'MC - Ibotirama'!E68</f>
        <v>1</v>
      </c>
      <c r="G87" s="254">
        <v>197.14</v>
      </c>
      <c r="H87" s="254">
        <f t="shared" si="14"/>
        <v>239.28</v>
      </c>
      <c r="I87" s="264">
        <f t="shared" si="15"/>
        <v>239.28</v>
      </c>
      <c r="J87" s="266">
        <f t="shared" si="16"/>
        <v>243.59</v>
      </c>
    </row>
    <row r="88" spans="1:13">
      <c r="A88" s="250" t="s">
        <v>91</v>
      </c>
      <c r="B88" s="251" t="s">
        <v>30</v>
      </c>
      <c r="C88" s="252">
        <v>6410</v>
      </c>
      <c r="D88" s="196" t="s">
        <v>129</v>
      </c>
      <c r="E88" s="25" t="s">
        <v>89</v>
      </c>
      <c r="F88" s="255">
        <f>'MC - Ibotirama'!E69</f>
        <v>1</v>
      </c>
      <c r="G88" s="254">
        <v>27.38</v>
      </c>
      <c r="H88" s="254">
        <f t="shared" si="14"/>
        <v>33.229999999999997</v>
      </c>
      <c r="I88" s="264">
        <f t="shared" si="15"/>
        <v>33.229999999999997</v>
      </c>
      <c r="J88" s="266">
        <f t="shared" si="16"/>
        <v>33.83</v>
      </c>
    </row>
    <row r="89" spans="1:13" ht="25.5">
      <c r="A89" s="250" t="s">
        <v>92</v>
      </c>
      <c r="B89" s="251" t="s">
        <v>22</v>
      </c>
      <c r="C89" s="252" t="s">
        <v>135</v>
      </c>
      <c r="D89" s="196" t="s">
        <v>136</v>
      </c>
      <c r="E89" s="25" t="s">
        <v>14</v>
      </c>
      <c r="F89" s="255">
        <f>'MC - Ibotirama'!E70</f>
        <v>1</v>
      </c>
      <c r="G89" s="254">
        <f>'CPU 02'!H67</f>
        <v>9278.5071540000008</v>
      </c>
      <c r="H89" s="254">
        <f t="shared" ref="H89:H94" si="17">ROUND(G89*(1+$D$7),2)</f>
        <v>11262.08</v>
      </c>
      <c r="I89" s="264">
        <f t="shared" ref="I89:I94" si="18">ROUND(F89*H89,2)</f>
        <v>11262.08</v>
      </c>
      <c r="J89" s="266">
        <f t="shared" si="16"/>
        <v>11464.8</v>
      </c>
    </row>
    <row r="90" spans="1:13" ht="25.5">
      <c r="A90" s="250" t="s">
        <v>95</v>
      </c>
      <c r="B90" s="251" t="s">
        <v>26</v>
      </c>
      <c r="C90" s="252">
        <v>91926</v>
      </c>
      <c r="D90" s="196" t="s">
        <v>93</v>
      </c>
      <c r="E90" s="25" t="s">
        <v>94</v>
      </c>
      <c r="F90" s="255">
        <f>'MC - Ibotirama'!E71</f>
        <v>88.86</v>
      </c>
      <c r="G90" s="254">
        <v>4.28</v>
      </c>
      <c r="H90" s="254">
        <f t="shared" si="17"/>
        <v>5.19</v>
      </c>
      <c r="I90" s="264">
        <f t="shared" si="18"/>
        <v>461.18</v>
      </c>
      <c r="J90" s="266">
        <f t="shared" si="16"/>
        <v>469.48</v>
      </c>
    </row>
    <row r="91" spans="1:13" ht="25.5">
      <c r="A91" s="250" t="s">
        <v>97</v>
      </c>
      <c r="B91" s="251" t="s">
        <v>26</v>
      </c>
      <c r="C91" s="252">
        <v>91932</v>
      </c>
      <c r="D91" s="196" t="s">
        <v>96</v>
      </c>
      <c r="E91" s="25" t="s">
        <v>94</v>
      </c>
      <c r="F91" s="255">
        <f>'MC - Ibotirama'!E72</f>
        <v>20</v>
      </c>
      <c r="G91" s="254">
        <v>15.81</v>
      </c>
      <c r="H91" s="254">
        <f t="shared" si="17"/>
        <v>19.190000000000001</v>
      </c>
      <c r="I91" s="264">
        <f t="shared" si="18"/>
        <v>383.8</v>
      </c>
      <c r="J91" s="266">
        <f t="shared" si="16"/>
        <v>390.71</v>
      </c>
    </row>
    <row r="92" spans="1:13">
      <c r="A92" s="250" t="s">
        <v>99</v>
      </c>
      <c r="B92" s="251" t="s">
        <v>26</v>
      </c>
      <c r="C92" s="252">
        <v>96985</v>
      </c>
      <c r="D92" s="196" t="s">
        <v>208</v>
      </c>
      <c r="E92" s="25" t="s">
        <v>98</v>
      </c>
      <c r="F92" s="255">
        <f>'MC - Ibotirama'!E73</f>
        <v>1</v>
      </c>
      <c r="G92" s="254">
        <v>89.17</v>
      </c>
      <c r="H92" s="254">
        <f t="shared" si="17"/>
        <v>108.23</v>
      </c>
      <c r="I92" s="264">
        <f t="shared" si="18"/>
        <v>108.23</v>
      </c>
      <c r="J92" s="266">
        <f t="shared" si="16"/>
        <v>110.18</v>
      </c>
    </row>
    <row r="93" spans="1:13">
      <c r="A93" s="250" t="s">
        <v>100</v>
      </c>
      <c r="B93" s="251" t="s">
        <v>26</v>
      </c>
      <c r="C93" s="252">
        <v>101549</v>
      </c>
      <c r="D93" s="196" t="s">
        <v>209</v>
      </c>
      <c r="E93" s="25" t="s">
        <v>98</v>
      </c>
      <c r="F93" s="255">
        <f>'MC - Ibotirama'!E74</f>
        <v>1</v>
      </c>
      <c r="G93" s="254">
        <v>20.04</v>
      </c>
      <c r="H93" s="254">
        <f t="shared" si="17"/>
        <v>24.32</v>
      </c>
      <c r="I93" s="264">
        <f t="shared" si="18"/>
        <v>24.32</v>
      </c>
      <c r="J93" s="266">
        <f t="shared" si="16"/>
        <v>24.76</v>
      </c>
    </row>
    <row r="94" spans="1:13">
      <c r="A94" s="250" t="s">
        <v>101</v>
      </c>
      <c r="B94" s="251" t="s">
        <v>30</v>
      </c>
      <c r="C94" s="252">
        <v>338</v>
      </c>
      <c r="D94" s="196" t="s">
        <v>102</v>
      </c>
      <c r="E94" s="25" t="s">
        <v>98</v>
      </c>
      <c r="F94" s="255">
        <f>'MC - Ibotirama'!E75</f>
        <v>1</v>
      </c>
      <c r="G94" s="254">
        <v>455.38</v>
      </c>
      <c r="H94" s="254">
        <f t="shared" si="17"/>
        <v>552.73</v>
      </c>
      <c r="I94" s="264">
        <f t="shared" si="18"/>
        <v>552.73</v>
      </c>
      <c r="J94" s="266">
        <f t="shared" si="16"/>
        <v>562.67999999999995</v>
      </c>
      <c r="M94" s="203">
        <v>166.8</v>
      </c>
    </row>
    <row r="95" spans="1:13" ht="15">
      <c r="A95" s="301"/>
      <c r="B95" s="302"/>
      <c r="C95" s="302"/>
      <c r="D95" s="303"/>
      <c r="E95" s="304" t="s">
        <v>103</v>
      </c>
      <c r="F95" s="304"/>
      <c r="G95" s="305"/>
      <c r="H95" s="305"/>
      <c r="I95" s="267">
        <f>SUM(I79:I94)</f>
        <v>16482.059999999998</v>
      </c>
      <c r="J95" s="280">
        <f>SUM(J79:J94)</f>
        <v>16778.749999999996</v>
      </c>
      <c r="M95" s="203">
        <v>194.99</v>
      </c>
    </row>
    <row r="96" spans="1:13">
      <c r="A96" s="271">
        <v>6</v>
      </c>
      <c r="B96" s="284"/>
      <c r="D96" s="273" t="s">
        <v>130</v>
      </c>
      <c r="E96" s="306"/>
      <c r="F96" s="307"/>
      <c r="G96" s="307"/>
      <c r="H96" s="307"/>
      <c r="I96" s="307"/>
      <c r="J96" s="308"/>
      <c r="M96" s="203">
        <f>28.69+22.86</f>
        <v>51.55</v>
      </c>
    </row>
    <row r="97" spans="1:11">
      <c r="A97" s="250" t="s">
        <v>105</v>
      </c>
      <c r="B97" s="251" t="s">
        <v>30</v>
      </c>
      <c r="C97" s="252">
        <v>2395</v>
      </c>
      <c r="D97" s="256" t="s">
        <v>108</v>
      </c>
      <c r="E97" s="195" t="s">
        <v>40</v>
      </c>
      <c r="F97" s="255">
        <f>'MC - Ibotirama'!E78</f>
        <v>412.34</v>
      </c>
      <c r="G97" s="254">
        <v>15.73</v>
      </c>
      <c r="H97" s="254">
        <f>ROUND(G97*(1+$D$7),2)</f>
        <v>19.09</v>
      </c>
      <c r="I97" s="264">
        <f>ROUND(F97*H97,2)</f>
        <v>7871.57</v>
      </c>
      <c r="J97" s="266">
        <f t="shared" ref="J97:J102" si="19">ROUND(I97*(1+$J$9),2)</f>
        <v>8013.26</v>
      </c>
    </row>
    <row r="98" spans="1:11" ht="15">
      <c r="A98" s="301"/>
      <c r="B98" s="302"/>
      <c r="C98" s="302"/>
      <c r="D98" s="303"/>
      <c r="E98" s="304" t="s">
        <v>110</v>
      </c>
      <c r="F98" s="304"/>
      <c r="G98" s="305"/>
      <c r="H98" s="305"/>
      <c r="I98" s="267">
        <f>SUM(I97)</f>
        <v>7871.57</v>
      </c>
      <c r="J98" s="280">
        <f>SUM(J97)</f>
        <v>8013.26</v>
      </c>
    </row>
    <row r="99" spans="1:11">
      <c r="A99" s="271">
        <v>7</v>
      </c>
      <c r="B99" s="284"/>
      <c r="D99" s="273" t="s">
        <v>104</v>
      </c>
      <c r="E99" s="306"/>
      <c r="F99" s="307"/>
      <c r="G99" s="307"/>
      <c r="H99" s="307"/>
      <c r="I99" s="307"/>
      <c r="J99" s="308"/>
    </row>
    <row r="100" spans="1:11">
      <c r="A100" s="250" t="s">
        <v>137</v>
      </c>
      <c r="B100" s="251" t="s">
        <v>22</v>
      </c>
      <c r="C100" s="252" t="s">
        <v>106</v>
      </c>
      <c r="D100" s="256" t="s">
        <v>107</v>
      </c>
      <c r="E100" s="195" t="s">
        <v>74</v>
      </c>
      <c r="F100" s="255">
        <f>'MC - Ibotirama'!E81</f>
        <v>6</v>
      </c>
      <c r="G100" s="254">
        <f>'CPU 02'!H82</f>
        <v>830.76940000000002</v>
      </c>
      <c r="H100" s="254">
        <f>ROUND(G100*(1+$D$7),2)</f>
        <v>1008.37</v>
      </c>
      <c r="I100" s="264">
        <f>ROUND(F100*H100,2)</f>
        <v>6050.22</v>
      </c>
      <c r="J100" s="266">
        <f t="shared" si="19"/>
        <v>6159.12</v>
      </c>
    </row>
    <row r="101" spans="1:11" ht="25.5">
      <c r="A101" s="250" t="s">
        <v>138</v>
      </c>
      <c r="B101" s="251" t="s">
        <v>30</v>
      </c>
      <c r="C101" s="252">
        <v>9367</v>
      </c>
      <c r="D101" s="196" t="s">
        <v>131</v>
      </c>
      <c r="E101" s="195" t="s">
        <v>74</v>
      </c>
      <c r="F101" s="255">
        <f>'MC - Ibotirama'!E82</f>
        <v>4</v>
      </c>
      <c r="G101" s="254">
        <v>394.65</v>
      </c>
      <c r="H101" s="254">
        <f>ROUND(G101*(1+$D$7),2)</f>
        <v>479.02</v>
      </c>
      <c r="I101" s="264">
        <f>ROUND(F101*H101,2)</f>
        <v>1916.08</v>
      </c>
      <c r="J101" s="266">
        <f t="shared" si="19"/>
        <v>1950.57</v>
      </c>
      <c r="K101" s="203" t="str">
        <f>LOWER(D101)</f>
        <v>conjunto com 3 lixeiras em fibra de vidro, com capacidade de 20 l cada, com tampa vai e vem</v>
      </c>
    </row>
    <row r="102" spans="1:11">
      <c r="A102" s="250" t="s">
        <v>139</v>
      </c>
      <c r="B102" s="251" t="s">
        <v>30</v>
      </c>
      <c r="C102" s="252">
        <v>6191</v>
      </c>
      <c r="D102" s="256" t="s">
        <v>109</v>
      </c>
      <c r="E102" s="25" t="s">
        <v>40</v>
      </c>
      <c r="F102" s="255">
        <f>'MC - Ibotirama'!E83</f>
        <v>1374.34</v>
      </c>
      <c r="G102" s="254">
        <v>0.43</v>
      </c>
      <c r="H102" s="254">
        <f>ROUND(G102*(1+$D$7),2)</f>
        <v>0.52</v>
      </c>
      <c r="I102" s="264">
        <f>ROUND(F102*H102,2)</f>
        <v>714.66</v>
      </c>
      <c r="J102" s="266">
        <f t="shared" si="19"/>
        <v>727.52</v>
      </c>
    </row>
    <row r="103" spans="1:11" ht="15">
      <c r="A103" s="309"/>
      <c r="B103" s="310"/>
      <c r="C103" s="310"/>
      <c r="D103" s="311"/>
      <c r="E103" s="304" t="s">
        <v>140</v>
      </c>
      <c r="F103" s="304"/>
      <c r="G103" s="305"/>
      <c r="H103" s="305"/>
      <c r="I103" s="267">
        <f>SUM(I100:I102)</f>
        <v>8680.9600000000009</v>
      </c>
      <c r="J103" s="280">
        <f>SUM(J100:J102)</f>
        <v>8837.2099999999991</v>
      </c>
    </row>
    <row r="104" spans="1:11">
      <c r="A104" s="257"/>
      <c r="B104" s="258"/>
      <c r="C104" s="258"/>
      <c r="D104" s="258"/>
      <c r="E104" s="259"/>
      <c r="F104" s="259"/>
      <c r="G104" s="260"/>
      <c r="H104" s="260"/>
      <c r="I104" s="292"/>
      <c r="J104" s="293"/>
    </row>
    <row r="105" spans="1:11" ht="15.75">
      <c r="A105" s="294"/>
      <c r="B105" s="295"/>
      <c r="C105" s="295"/>
      <c r="D105" s="296"/>
      <c r="E105" s="297" t="s">
        <v>111</v>
      </c>
      <c r="F105" s="297"/>
      <c r="G105" s="298"/>
      <c r="H105" s="298"/>
      <c r="I105" s="286">
        <f>SUM(I19+I98+I28+I45+I77+I95+I103)</f>
        <v>294683.07000000007</v>
      </c>
      <c r="J105" s="287">
        <f>SUM(J19+J98+J28+J45+J77+J95+J103)</f>
        <v>299987.38000000006</v>
      </c>
    </row>
    <row r="111" spans="1:11">
      <c r="J111" s="203" t="s">
        <v>210</v>
      </c>
    </row>
  </sheetData>
  <mergeCells count="52">
    <mergeCell ref="D1:I1"/>
    <mergeCell ref="D2:I2"/>
    <mergeCell ref="D3:I3"/>
    <mergeCell ref="A5:I5"/>
    <mergeCell ref="A7:C7"/>
    <mergeCell ref="E7:F7"/>
    <mergeCell ref="B8:D8"/>
    <mergeCell ref="A9:I9"/>
    <mergeCell ref="E11:J11"/>
    <mergeCell ref="A19:D19"/>
    <mergeCell ref="E19:H19"/>
    <mergeCell ref="E20:J20"/>
    <mergeCell ref="A28:D28"/>
    <mergeCell ref="E28:H28"/>
    <mergeCell ref="E29:J29"/>
    <mergeCell ref="E30:J30"/>
    <mergeCell ref="A37:D37"/>
    <mergeCell ref="E37:H37"/>
    <mergeCell ref="E38:J38"/>
    <mergeCell ref="A44:D44"/>
    <mergeCell ref="E44:H44"/>
    <mergeCell ref="A45:D45"/>
    <mergeCell ref="E45:H45"/>
    <mergeCell ref="E46:J46"/>
    <mergeCell ref="E47:J47"/>
    <mergeCell ref="E55:H55"/>
    <mergeCell ref="E69:H69"/>
    <mergeCell ref="E70:J70"/>
    <mergeCell ref="A76:D76"/>
    <mergeCell ref="E76:H76"/>
    <mergeCell ref="E56:J56"/>
    <mergeCell ref="A60:D60"/>
    <mergeCell ref="E60:H60"/>
    <mergeCell ref="E61:J61"/>
    <mergeCell ref="A65:D65"/>
    <mergeCell ref="E65:H65"/>
    <mergeCell ref="I104:J104"/>
    <mergeCell ref="A105:D105"/>
    <mergeCell ref="E105:H105"/>
    <mergeCell ref="J1:J8"/>
    <mergeCell ref="A98:D98"/>
    <mergeCell ref="E98:H98"/>
    <mergeCell ref="E99:J99"/>
    <mergeCell ref="A103:D103"/>
    <mergeCell ref="E103:H103"/>
    <mergeCell ref="E77:H77"/>
    <mergeCell ref="E78:J78"/>
    <mergeCell ref="A95:D95"/>
    <mergeCell ref="E95:H95"/>
    <mergeCell ref="E96:J96"/>
    <mergeCell ref="E66:J66"/>
    <mergeCell ref="A69:D69"/>
  </mergeCells>
  <pageMargins left="0.98425196850393704" right="0.59055118110236204" top="0.78740157480314998" bottom="0.78740157480314998" header="0.511811023622047" footer="0.59055118110236204"/>
  <pageSetup paperSize="9" scale="4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G48"/>
  <sheetViews>
    <sheetView showGridLines="0" view="pageBreakPreview" topLeftCell="A22" zoomScaleNormal="100" zoomScaleSheetLayoutView="100" workbookViewId="0">
      <selection activeCell="A6" sqref="A6"/>
    </sheetView>
  </sheetViews>
  <sheetFormatPr defaultColWidth="9" defaultRowHeight="12.75"/>
  <cols>
    <col min="2" max="2" width="52.42578125" customWidth="1"/>
    <col min="3" max="3" width="22.28515625" customWidth="1"/>
    <col min="4" max="6" width="18.7109375" customWidth="1"/>
    <col min="7" max="7" width="11.28515625" customWidth="1"/>
  </cols>
  <sheetData>
    <row r="1" spans="1:7" s="154" customFormat="1" ht="15.75" customHeight="1">
      <c r="A1" s="190"/>
      <c r="B1" s="333" t="s">
        <v>0</v>
      </c>
      <c r="C1" s="333"/>
      <c r="D1" s="333"/>
      <c r="E1" s="333"/>
      <c r="F1" s="333"/>
    </row>
    <row r="2" spans="1:7" s="154" customFormat="1" ht="15.75" customHeight="1">
      <c r="A2" s="204"/>
      <c r="B2" s="334" t="s">
        <v>211</v>
      </c>
      <c r="C2" s="334"/>
      <c r="D2" s="334"/>
      <c r="E2" s="334"/>
      <c r="F2" s="334"/>
    </row>
    <row r="3" spans="1:7" s="154" customFormat="1" ht="15.75" customHeight="1">
      <c r="A3" s="204"/>
      <c r="B3" s="333" t="s">
        <v>212</v>
      </c>
      <c r="C3" s="333"/>
      <c r="D3" s="333"/>
      <c r="E3" s="333"/>
      <c r="F3" s="333"/>
    </row>
    <row r="4" spans="1:7">
      <c r="A4" s="3"/>
      <c r="B4" s="4"/>
      <c r="C4" s="153"/>
      <c r="D4" s="153"/>
      <c r="E4" s="4"/>
      <c r="F4" s="4"/>
    </row>
    <row r="5" spans="1:7" s="155" customFormat="1" ht="39.75" customHeight="1">
      <c r="A5" s="335" t="str">
        <f>'Planilha - IBOTIRAMA'!A5:I5</f>
        <v>CONSTRUÇÃO DE 04 (QUATRO) PRAÇAS, SENDO: 01 (UMA) NO MUNICÍPIO DE BAIANÓPOLIS, 01 (UMA) NO MUNICÍPIO DE IBOTIRAMA, 01 (UMA) NO MUNICÍPIO DE ILHÉUS E 01 (UMA) NO MUNICÍPIO DE LIVRAMENTO DE NOSSA SENHORA, E REQUALIFICAÇÃO DE 01 (UMA) PRAÇA NO MUNICÍPIO DE PORTO SEGURO, TODAS NO ESTADO DA BAHIA, ÁREA DE ABRANGÊNCIA DA 2ª SUPERINTENDÊNCIA REGIONAL DA CODEVASF</v>
      </c>
      <c r="B5" s="336"/>
      <c r="C5" s="336"/>
      <c r="D5" s="336"/>
      <c r="E5" s="336"/>
      <c r="F5" s="336"/>
    </row>
    <row r="6" spans="1:7" ht="15">
      <c r="A6" s="205"/>
      <c r="B6" s="206"/>
      <c r="C6" s="207"/>
      <c r="D6" s="207"/>
      <c r="E6" s="208"/>
      <c r="F6" s="4"/>
    </row>
    <row r="7" spans="1:7" ht="20.25">
      <c r="A7" s="337" t="s">
        <v>514</v>
      </c>
      <c r="B7" s="338"/>
      <c r="C7" s="338"/>
      <c r="D7" s="338"/>
      <c r="E7" s="338"/>
      <c r="F7" s="338"/>
    </row>
    <row r="8" spans="1:7">
      <c r="A8" s="150"/>
      <c r="B8" s="151"/>
      <c r="C8" s="149"/>
      <c r="D8" s="149"/>
      <c r="E8" s="151"/>
      <c r="F8" s="151"/>
    </row>
    <row r="9" spans="1:7" ht="12.75" customHeight="1">
      <c r="A9" s="332" t="s">
        <v>213</v>
      </c>
      <c r="B9" s="332" t="s">
        <v>214</v>
      </c>
      <c r="C9" s="332" t="s">
        <v>215</v>
      </c>
      <c r="D9" s="332" t="s">
        <v>216</v>
      </c>
      <c r="E9" s="332" t="s">
        <v>217</v>
      </c>
      <c r="F9" s="332" t="s">
        <v>218</v>
      </c>
    </row>
    <row r="10" spans="1:7" ht="12.75" customHeight="1">
      <c r="A10" s="332"/>
      <c r="B10" s="332"/>
      <c r="C10" s="332"/>
      <c r="D10" s="332"/>
      <c r="E10" s="332"/>
      <c r="F10" s="332"/>
    </row>
    <row r="11" spans="1:7" ht="15.75">
      <c r="A11" s="209">
        <f>'Planilha - IBOTIRAMA'!A11</f>
        <v>1</v>
      </c>
      <c r="B11" s="209" t="str">
        <f>'Planilha - IBOTIRAMA'!D11</f>
        <v>SERVIÇOS PRELIMINARES</v>
      </c>
      <c r="C11" s="210">
        <f>'Planilha - IBOTIRAMA'!J19</f>
        <v>35613.86</v>
      </c>
      <c r="D11" s="211">
        <f>('Planilha - IBOTIRAMA'!I12/3)+'Planilha - IBOTIRAMA'!I15+'Planilha - IBOTIRAMA'!I17+'Planilha - IBOTIRAMA'!I18</f>
        <v>13245.75</v>
      </c>
      <c r="E11" s="211">
        <f>('Planilha - IBOTIRAMA'!I12/3)</f>
        <v>6589.21</v>
      </c>
      <c r="F11" s="211">
        <f>C11-D11-E11</f>
        <v>15778.900000000001</v>
      </c>
      <c r="G11" s="212">
        <f>D11+E11+F11</f>
        <v>35613.86</v>
      </c>
    </row>
    <row r="12" spans="1:7" ht="15.75">
      <c r="A12" s="209"/>
      <c r="B12" s="213"/>
      <c r="C12" s="214"/>
      <c r="D12" s="215">
        <f>D11/C11</f>
        <v>0.37192682848756076</v>
      </c>
      <c r="E12" s="215">
        <f>E11/C11</f>
        <v>0.18501813619753657</v>
      </c>
      <c r="F12" s="215">
        <f>F11/C11</f>
        <v>0.4430550353149027</v>
      </c>
    </row>
    <row r="13" spans="1:7" ht="15.75">
      <c r="A13" s="209">
        <f>'Planilha - IBOTIRAMA'!A20</f>
        <v>2</v>
      </c>
      <c r="B13" s="209" t="str">
        <f>'Planilha - IBOTIRAMA'!D20</f>
        <v>TERRAPLENAGEM</v>
      </c>
      <c r="C13" s="210">
        <f>'Planilha - IBOTIRAMA'!J28</f>
        <v>9455.86</v>
      </c>
      <c r="D13" s="211">
        <f>C13*100%</f>
        <v>9455.86</v>
      </c>
      <c r="E13" s="227"/>
      <c r="F13" s="228"/>
      <c r="G13" s="212">
        <f>D13+E13+F13</f>
        <v>9455.86</v>
      </c>
    </row>
    <row r="14" spans="1:7" ht="15.75">
      <c r="A14" s="209"/>
      <c r="B14" s="213"/>
      <c r="C14" s="210"/>
      <c r="D14" s="215">
        <f>D13/C13</f>
        <v>1</v>
      </c>
      <c r="E14" s="215">
        <f>E13/C13</f>
        <v>0</v>
      </c>
      <c r="F14" s="215">
        <f>F13/C13</f>
        <v>0</v>
      </c>
    </row>
    <row r="15" spans="1:7" ht="15.75">
      <c r="A15" s="209">
        <f>'Planilha - IBOTIRAMA'!A29</f>
        <v>3</v>
      </c>
      <c r="B15" s="209" t="str">
        <f>'Planilha - IBOTIRAMA'!D29</f>
        <v>PAVIMENTAÇÃO E GUIAS</v>
      </c>
      <c r="C15" s="210">
        <f>'Planilha - IBOTIRAMA'!J45</f>
        <v>97641.16</v>
      </c>
      <c r="D15" s="211">
        <f>D17+D19</f>
        <v>17716.314000000002</v>
      </c>
      <c r="E15" s="211">
        <f>E17+E19</f>
        <v>40868.381999999998</v>
      </c>
      <c r="F15" s="211">
        <f>F17+F19</f>
        <v>39056.464</v>
      </c>
      <c r="G15" s="212">
        <f>D15+E15+F15</f>
        <v>97641.16</v>
      </c>
    </row>
    <row r="16" spans="1:7" ht="15.75">
      <c r="A16" s="209"/>
      <c r="B16" s="213"/>
      <c r="C16" s="229"/>
      <c r="D16" s="215">
        <f>D15/C15</f>
        <v>0.1814430922369214</v>
      </c>
      <c r="E16" s="215">
        <f>E15/C15</f>
        <v>0.41855690776307858</v>
      </c>
      <c r="F16" s="230">
        <f>F15/C15</f>
        <v>0.39999999999999997</v>
      </c>
    </row>
    <row r="17" spans="1:7" ht="15.75">
      <c r="A17" s="213" t="str">
        <f>'Planilha - IBOTIRAMA'!A30</f>
        <v>3.1</v>
      </c>
      <c r="B17" s="213" t="str">
        <f>'Planilha - IBOTIRAMA'!B30</f>
        <v>INTERTRAVADO</v>
      </c>
      <c r="C17" s="210">
        <f>'Planilha - IBOTIRAMA'!J37</f>
        <v>79521.98</v>
      </c>
      <c r="D17" s="211">
        <f>C17*0.2</f>
        <v>15904.396000000001</v>
      </c>
      <c r="E17" s="211">
        <f>C17*0.4</f>
        <v>31808.792000000001</v>
      </c>
      <c r="F17" s="216">
        <f>C17*0.4</f>
        <v>31808.792000000001</v>
      </c>
      <c r="G17" s="212">
        <f>D17+E17+F17</f>
        <v>79521.98000000001</v>
      </c>
    </row>
    <row r="18" spans="1:7" ht="15.75">
      <c r="A18" s="217"/>
      <c r="B18" s="217"/>
      <c r="C18" s="229"/>
      <c r="D18" s="215">
        <f>D17/C17</f>
        <v>0.2</v>
      </c>
      <c r="E18" s="215">
        <f>E17/C17</f>
        <v>0.4</v>
      </c>
      <c r="F18" s="230">
        <f>F17/C17</f>
        <v>0.4</v>
      </c>
    </row>
    <row r="19" spans="1:7" ht="15.75">
      <c r="A19" s="213" t="str">
        <f>'Planilha - IBOTIRAMA'!A38</f>
        <v>3.2</v>
      </c>
      <c r="B19" s="213" t="str">
        <f>'Planilha - IBOTIRAMA'!B38</f>
        <v>ACESSIBILIDADE</v>
      </c>
      <c r="C19" s="210">
        <f>'Planilha - IBOTIRAMA'!J44</f>
        <v>18119.18</v>
      </c>
      <c r="D19" s="211">
        <f>C19*0.1</f>
        <v>1811.9180000000001</v>
      </c>
      <c r="E19" s="211">
        <f>C19*0.5</f>
        <v>9059.59</v>
      </c>
      <c r="F19" s="216">
        <f>C19*0.4</f>
        <v>7247.6720000000005</v>
      </c>
      <c r="G19" s="212">
        <f>D19+E19+F19</f>
        <v>18119.18</v>
      </c>
    </row>
    <row r="20" spans="1:7" ht="15.75">
      <c r="A20" s="217"/>
      <c r="B20" s="217"/>
      <c r="C20" s="218"/>
      <c r="D20" s="215">
        <f>D19/C19</f>
        <v>0.1</v>
      </c>
      <c r="E20" s="215">
        <f>E19/C19</f>
        <v>0.5</v>
      </c>
      <c r="F20" s="230">
        <f>F19/C19</f>
        <v>0.4</v>
      </c>
    </row>
    <row r="21" spans="1:7" ht="15.75">
      <c r="A21" s="209">
        <f>'Planilha - IBOTIRAMA'!A46</f>
        <v>4</v>
      </c>
      <c r="B21" s="209" t="str">
        <f>'Planilha - IBOTIRAMA'!D46</f>
        <v>PALCO</v>
      </c>
      <c r="C21" s="210">
        <f>'Planilha - IBOTIRAMA'!J77</f>
        <v>123647.28</v>
      </c>
      <c r="D21" s="211">
        <f>D23+D25+D27+D29+D31</f>
        <v>21821.395</v>
      </c>
      <c r="E21" s="211">
        <f>E23+E25+E27+E29+E31</f>
        <v>46734.850999999995</v>
      </c>
      <c r="F21" s="211">
        <f>F23+F25+F27+F29+F31</f>
        <v>55091.034</v>
      </c>
      <c r="G21" s="212">
        <f>D21+E21+F21</f>
        <v>123647.28</v>
      </c>
    </row>
    <row r="22" spans="1:7" ht="15.75">
      <c r="A22" s="209"/>
      <c r="B22" s="209"/>
      <c r="C22" s="210"/>
      <c r="D22" s="215">
        <f>D21/C21</f>
        <v>0.17648099497214981</v>
      </c>
      <c r="E22" s="215">
        <f>E21/C21</f>
        <v>0.37796909887544633</v>
      </c>
      <c r="F22" s="230">
        <f>F21/C21</f>
        <v>0.44554990615240386</v>
      </c>
      <c r="G22" s="212"/>
    </row>
    <row r="23" spans="1:7" ht="15.75">
      <c r="A23" s="213" t="str">
        <f>'Planilha - IBOTIRAMA'!A47</f>
        <v>4.1</v>
      </c>
      <c r="B23" s="213" t="str">
        <f>'Planilha - IBOTIRAMA'!B47</f>
        <v>FUNDAÇÃO</v>
      </c>
      <c r="C23" s="210">
        <f>'Planilha - IBOTIRAMA'!J55</f>
        <v>19224.55</v>
      </c>
      <c r="D23" s="211">
        <f>C23</f>
        <v>19224.55</v>
      </c>
      <c r="E23" s="211">
        <f>C23*0</f>
        <v>0</v>
      </c>
      <c r="F23" s="216">
        <f>C23*0</f>
        <v>0</v>
      </c>
      <c r="G23" s="212">
        <f>D23+E23+F23</f>
        <v>19224.55</v>
      </c>
    </row>
    <row r="24" spans="1:7" ht="15.75">
      <c r="A24" s="217"/>
      <c r="B24" s="217"/>
      <c r="C24" s="229"/>
      <c r="D24" s="215">
        <f>D23/C23</f>
        <v>1</v>
      </c>
      <c r="E24" s="215">
        <f>E23/C23</f>
        <v>0</v>
      </c>
      <c r="F24" s="230">
        <f>F23/C23</f>
        <v>0</v>
      </c>
    </row>
    <row r="25" spans="1:7" ht="15.75">
      <c r="A25" s="213" t="str">
        <f>'Planilha - IBOTIRAMA'!A56</f>
        <v>4.2</v>
      </c>
      <c r="B25" s="213" t="str">
        <f>'Planilha - IBOTIRAMA'!B56</f>
        <v>ALVENARIA E REVESTIMENTOS</v>
      </c>
      <c r="C25" s="210">
        <f>'Planilha - IBOTIRAMA'!J60</f>
        <v>2788.14</v>
      </c>
      <c r="D25" s="211">
        <f>C25*0.5</f>
        <v>1394.07</v>
      </c>
      <c r="E25" s="211">
        <f>C25*0.5</f>
        <v>1394.07</v>
      </c>
      <c r="F25" s="216">
        <v>0</v>
      </c>
      <c r="G25" s="212">
        <f>D25+E25+F25</f>
        <v>2788.14</v>
      </c>
    </row>
    <row r="26" spans="1:7" ht="15.75">
      <c r="A26" s="217"/>
      <c r="B26" s="217"/>
      <c r="C26" s="229"/>
      <c r="D26" s="215">
        <f>D25/C25</f>
        <v>0.5</v>
      </c>
      <c r="E26" s="215">
        <f>E25/C25</f>
        <v>0.5</v>
      </c>
      <c r="F26" s="230">
        <f>F25/C25</f>
        <v>0</v>
      </c>
    </row>
    <row r="27" spans="1:7" ht="15.75">
      <c r="A27" s="213" t="str">
        <f>'Planilha - IBOTIRAMA'!A61</f>
        <v>4.3</v>
      </c>
      <c r="B27" s="213" t="str">
        <f>'Planilha - IBOTIRAMA'!B61</f>
        <v>ALTEAMENTO DO PALCO</v>
      </c>
      <c r="C27" s="210">
        <f>'Planilha - IBOTIRAMA'!J65</f>
        <v>2405.5500000000002</v>
      </c>
      <c r="D27" s="211">
        <f>C27*0.5</f>
        <v>1202.7750000000001</v>
      </c>
      <c r="E27" s="211">
        <f>C27*0.5</f>
        <v>1202.7750000000001</v>
      </c>
      <c r="F27" s="216"/>
      <c r="G27" s="212">
        <f>D27+E27+F27</f>
        <v>2405.5500000000002</v>
      </c>
    </row>
    <row r="28" spans="1:7" ht="15.75">
      <c r="A28" s="217"/>
      <c r="B28" s="217"/>
      <c r="C28" s="229"/>
      <c r="D28" s="215">
        <f>D27/C27</f>
        <v>0.5</v>
      </c>
      <c r="E28" s="215">
        <f>E27/C27</f>
        <v>0.5</v>
      </c>
      <c r="F28" s="230">
        <f>F27/C27</f>
        <v>0</v>
      </c>
    </row>
    <row r="29" spans="1:7" ht="15.75">
      <c r="A29" s="213" t="str">
        <f>'Planilha - IBOTIRAMA'!A66</f>
        <v>4.4</v>
      </c>
      <c r="B29" s="213" t="str">
        <f>'Planilha - IBOTIRAMA'!B66</f>
        <v>PISO</v>
      </c>
      <c r="C29" s="210">
        <f>'Planilha - IBOTIRAMA'!J69</f>
        <v>7410.65</v>
      </c>
      <c r="D29" s="211"/>
      <c r="E29" s="211">
        <f>C29</f>
        <v>7410.65</v>
      </c>
      <c r="F29" s="216"/>
      <c r="G29" s="212">
        <f>D29+E29+F29</f>
        <v>7410.65</v>
      </c>
    </row>
    <row r="30" spans="1:7" ht="15.75">
      <c r="A30" s="217"/>
      <c r="B30" s="217"/>
      <c r="C30" s="229"/>
      <c r="D30" s="215">
        <f>D29/C29</f>
        <v>0</v>
      </c>
      <c r="E30" s="215">
        <f>E29/C29</f>
        <v>1</v>
      </c>
      <c r="F30" s="230">
        <f>F29/C29</f>
        <v>0</v>
      </c>
    </row>
    <row r="31" spans="1:7" ht="15.75">
      <c r="A31" s="213" t="str">
        <f>'Planilha - IBOTIRAMA'!A70</f>
        <v>4.5</v>
      </c>
      <c r="B31" s="213" t="str">
        <f>'Planilha - IBOTIRAMA'!B70</f>
        <v>COBERTURA</v>
      </c>
      <c r="C31" s="210">
        <f>'Planilha - IBOTIRAMA'!J76</f>
        <v>91818.39</v>
      </c>
      <c r="D31" s="211"/>
      <c r="E31" s="211">
        <f>C31*0.4</f>
        <v>36727.356</v>
      </c>
      <c r="F31" s="216">
        <f>C31*0.6</f>
        <v>55091.034</v>
      </c>
      <c r="G31" s="212">
        <f>D31+E31+F31</f>
        <v>91818.39</v>
      </c>
    </row>
    <row r="32" spans="1:7" ht="15.75">
      <c r="A32" s="217"/>
      <c r="B32" s="217"/>
      <c r="C32" s="229"/>
      <c r="D32" s="215">
        <f>D31/C31</f>
        <v>0</v>
      </c>
      <c r="E32" s="215">
        <f>E31/C31</f>
        <v>0.4</v>
      </c>
      <c r="F32" s="230">
        <f>F31/C31</f>
        <v>0.6</v>
      </c>
    </row>
    <row r="33" spans="1:7" ht="15.75">
      <c r="A33" s="209">
        <f>'Planilha - IBOTIRAMA'!A78</f>
        <v>5</v>
      </c>
      <c r="B33" s="209" t="str">
        <f>'Planilha - IBOTIRAMA'!D78</f>
        <v>INSTALAÇÕES ELÉTRICAS (Praça)</v>
      </c>
      <c r="C33" s="210">
        <f>'Planilha - IBOTIRAMA'!J95</f>
        <v>16778.749999999996</v>
      </c>
      <c r="D33" s="211">
        <f>C33*0.15</f>
        <v>2516.8124999999995</v>
      </c>
      <c r="E33" s="211">
        <f>C33*0.15</f>
        <v>2516.8124999999995</v>
      </c>
      <c r="F33" s="211">
        <f>C33*0.7</f>
        <v>11745.124999999996</v>
      </c>
      <c r="G33" s="212">
        <f>D33+E33+F33</f>
        <v>16778.749999999996</v>
      </c>
    </row>
    <row r="34" spans="1:7" ht="15.75">
      <c r="A34" s="217"/>
      <c r="B34" s="217"/>
      <c r="C34" s="218"/>
      <c r="D34" s="215">
        <f>D33/C33</f>
        <v>0.15</v>
      </c>
      <c r="E34" s="215">
        <f>E33/C33</f>
        <v>0.15</v>
      </c>
      <c r="F34" s="215">
        <f>F33/C33</f>
        <v>0.7</v>
      </c>
    </row>
    <row r="35" spans="1:7" ht="15.75">
      <c r="A35" s="209">
        <f>'Planilha - IBOTIRAMA'!A96</f>
        <v>6</v>
      </c>
      <c r="B35" s="209" t="str">
        <f>'Planilha - IBOTIRAMA'!D96</f>
        <v>JARDINAGEM</v>
      </c>
      <c r="C35" s="210">
        <f>'Planilha - IBOTIRAMA'!J98</f>
        <v>8013.26</v>
      </c>
      <c r="D35" s="211">
        <f>C35*0</f>
        <v>0</v>
      </c>
      <c r="E35" s="211">
        <f>C35*0.3</f>
        <v>2403.9780000000001</v>
      </c>
      <c r="F35" s="211">
        <f>C35*0.7</f>
        <v>5609.2820000000002</v>
      </c>
      <c r="G35" s="212">
        <f>D35+E35+F35</f>
        <v>8013.26</v>
      </c>
    </row>
    <row r="36" spans="1:7" ht="15.75">
      <c r="A36" s="217"/>
      <c r="B36" s="217"/>
      <c r="C36" s="218"/>
      <c r="D36" s="215">
        <f>D35/C35</f>
        <v>0</v>
      </c>
      <c r="E36" s="215">
        <f>E35/C35</f>
        <v>0.3</v>
      </c>
      <c r="F36" s="215">
        <f>F35/C35</f>
        <v>0.7</v>
      </c>
    </row>
    <row r="37" spans="1:7" ht="15.75">
      <c r="A37" s="209">
        <f>'Planilha - IBOTIRAMA'!A99</f>
        <v>7</v>
      </c>
      <c r="B37" s="209" t="str">
        <f>'Planilha - IBOTIRAMA'!D99</f>
        <v>DIVERSOS</v>
      </c>
      <c r="C37" s="210">
        <f>'Planilha - IBOTIRAMA'!J103</f>
        <v>8837.2099999999991</v>
      </c>
      <c r="D37" s="211">
        <f>C37*0</f>
        <v>0</v>
      </c>
      <c r="E37" s="211">
        <f>C37*0.3</f>
        <v>2651.1629999999996</v>
      </c>
      <c r="F37" s="211">
        <f>C37*0.7</f>
        <v>6186.0469999999987</v>
      </c>
      <c r="G37" s="212">
        <f>D37+E37+F37</f>
        <v>8837.2099999999991</v>
      </c>
    </row>
    <row r="38" spans="1:7" ht="15.75">
      <c r="A38" s="217"/>
      <c r="B38" s="217"/>
      <c r="C38" s="218"/>
      <c r="D38" s="215">
        <f>D37/C37</f>
        <v>0</v>
      </c>
      <c r="E38" s="215">
        <f>E37/C37</f>
        <v>0.3</v>
      </c>
      <c r="F38" s="215">
        <f>F37/C37</f>
        <v>0.7</v>
      </c>
    </row>
    <row r="39" spans="1:7" ht="15.75">
      <c r="A39" s="217"/>
      <c r="B39" s="217"/>
      <c r="C39" s="218"/>
      <c r="D39" s="215"/>
      <c r="E39" s="215"/>
      <c r="F39" s="215"/>
    </row>
    <row r="40" spans="1:7" ht="15.75">
      <c r="A40" s="217"/>
      <c r="B40" s="217"/>
      <c r="C40" s="218"/>
      <c r="D40" s="215"/>
      <c r="E40" s="215"/>
      <c r="F40" s="215"/>
    </row>
    <row r="41" spans="1:7" ht="15.75">
      <c r="A41" s="217"/>
      <c r="B41" s="217"/>
      <c r="C41" s="218"/>
      <c r="D41" s="215"/>
      <c r="E41" s="215"/>
      <c r="F41" s="215"/>
    </row>
    <row r="42" spans="1:7" ht="15.75">
      <c r="A42" s="219"/>
      <c r="B42" s="220" t="s">
        <v>219</v>
      </c>
      <c r="C42" s="221">
        <f>C11+C13+C15+C21+C33+C35+C37</f>
        <v>299987.38000000006</v>
      </c>
      <c r="D42" s="221">
        <f>D11+D13+D15+D21+D33+D35+D37</f>
        <v>64756.131500000003</v>
      </c>
      <c r="E42" s="221">
        <f>E11+E13+E15+E21+E33+E35+E37</f>
        <v>101764.3965</v>
      </c>
      <c r="F42" s="221">
        <f>F11+F13+F15+F21+F33+F35+F37</f>
        <v>133466.85200000001</v>
      </c>
      <c r="G42" s="212">
        <f>D42+E42+F42</f>
        <v>299987.38</v>
      </c>
    </row>
    <row r="43" spans="1:7" ht="15.75">
      <c r="A43" s="219"/>
      <c r="B43" s="220"/>
      <c r="C43" s="329"/>
      <c r="D43" s="222"/>
      <c r="E43" s="222"/>
      <c r="F43" s="222"/>
    </row>
    <row r="44" spans="1:7" ht="15.75">
      <c r="A44" s="223"/>
      <c r="B44" s="224" t="s">
        <v>220</v>
      </c>
      <c r="C44" s="330"/>
      <c r="D44" s="215">
        <f>D42/C42</f>
        <v>0.21586285229731994</v>
      </c>
      <c r="E44" s="215">
        <f>E42/C42</f>
        <v>0.33922892523012127</v>
      </c>
      <c r="F44" s="215">
        <f>F42/C42</f>
        <v>0.44490822247255862</v>
      </c>
      <c r="G44" s="225">
        <f>D44+E44+F44</f>
        <v>0.99999999999999978</v>
      </c>
    </row>
    <row r="45" spans="1:7" ht="15.75">
      <c r="A45" s="223"/>
      <c r="B45" s="224" t="s">
        <v>221</v>
      </c>
      <c r="C45" s="330"/>
      <c r="D45" s="226">
        <f>D42</f>
        <v>64756.131500000003</v>
      </c>
      <c r="E45" s="226">
        <f>D45+E42</f>
        <v>166520.52799999999</v>
      </c>
      <c r="F45" s="226">
        <f>F42+E45</f>
        <v>299987.38</v>
      </c>
    </row>
    <row r="46" spans="1:7" ht="15.75">
      <c r="A46" s="223"/>
      <c r="B46" s="224" t="s">
        <v>222</v>
      </c>
      <c r="C46" s="331"/>
      <c r="D46" s="215">
        <f>D44</f>
        <v>0.21586285229731994</v>
      </c>
      <c r="E46" s="215">
        <f>D46+E44</f>
        <v>0.55509177752744121</v>
      </c>
      <c r="F46" s="215">
        <f>E46+F44</f>
        <v>0.99999999999999978</v>
      </c>
    </row>
    <row r="47" spans="1:7">
      <c r="A47" s="63"/>
      <c r="B47" s="61"/>
      <c r="C47" s="62"/>
      <c r="D47" s="62"/>
      <c r="E47" s="61"/>
    </row>
    <row r="48" spans="1:7">
      <c r="C48" s="104"/>
      <c r="D48" s="104"/>
    </row>
  </sheetData>
  <mergeCells count="12">
    <mergeCell ref="C43:C46"/>
    <mergeCell ref="D9:D10"/>
    <mergeCell ref="B1:F1"/>
    <mergeCell ref="B2:F2"/>
    <mergeCell ref="B3:F3"/>
    <mergeCell ref="A5:F5"/>
    <mergeCell ref="A7:F7"/>
    <mergeCell ref="E9:E10"/>
    <mergeCell ref="F9:F10"/>
    <mergeCell ref="A9:A10"/>
    <mergeCell ref="B9:B10"/>
    <mergeCell ref="C9:C10"/>
  </mergeCells>
  <printOptions horizontalCentered="1" verticalCentered="1"/>
  <pageMargins left="0.51180555555555596" right="0.51180555555555596" top="1.4875" bottom="0.78680555555555598" header="0.31458333333333299" footer="0.31458333333333299"/>
  <pageSetup scale="6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4"/>
  <sheetViews>
    <sheetView showGridLines="0" view="pageBreakPreview" topLeftCell="A70" zoomScale="106" zoomScaleNormal="100" zoomScaleSheetLayoutView="106" workbookViewId="0">
      <selection activeCell="A7" sqref="A7:E7"/>
    </sheetView>
  </sheetViews>
  <sheetFormatPr defaultColWidth="9.140625" defaultRowHeight="12.75"/>
  <cols>
    <col min="1" max="1" width="9.28515625" style="154" customWidth="1"/>
    <col min="2" max="2" width="54.28515625" style="154" customWidth="1"/>
    <col min="3" max="3" width="7.42578125" style="154" customWidth="1"/>
    <col min="4" max="4" width="40.140625" style="154" customWidth="1"/>
    <col min="5" max="5" width="14.85546875" style="154" customWidth="1"/>
    <col min="6" max="6" width="9.140625" style="154"/>
    <col min="7" max="7" width="15.42578125" style="154" customWidth="1"/>
    <col min="8" max="8" width="12.85546875" style="154"/>
    <col min="9" max="10" width="9.140625" style="154"/>
    <col min="11" max="11" width="13.28515625" style="154" customWidth="1"/>
    <col min="12" max="16384" width="9.140625" style="154"/>
  </cols>
  <sheetData>
    <row r="1" spans="1:9">
      <c r="A1" s="188"/>
      <c r="B1" s="348" t="s">
        <v>223</v>
      </c>
      <c r="C1" s="348"/>
      <c r="D1" s="348"/>
      <c r="E1" s="349"/>
    </row>
    <row r="2" spans="1:9">
      <c r="A2" s="189"/>
      <c r="B2" s="350" t="s">
        <v>225</v>
      </c>
      <c r="C2" s="350"/>
      <c r="D2" s="350"/>
      <c r="E2" s="351"/>
    </row>
    <row r="3" spans="1:9">
      <c r="A3" s="189"/>
      <c r="B3" s="350" t="s">
        <v>224</v>
      </c>
      <c r="C3" s="350"/>
      <c r="D3" s="350"/>
      <c r="E3" s="351"/>
    </row>
    <row r="4" spans="1:9">
      <c r="A4" s="340" t="str">
        <f>'Planilha - IBOTIRAMA'!A5:I5</f>
        <v>CONSTRUÇÃO DE 04 (QUATRO) PRAÇAS, SENDO: 01 (UMA) NO MUNICÍPIO DE BAIANÓPOLIS, 01 (UMA) NO MUNICÍPIO DE IBOTIRAMA, 01 (UMA) NO MUNICÍPIO DE ILHÉUS E 01 (UMA) NO MUNICÍPIO DE LIVRAMENTO DE NOSSA SENHORA, E REQUALIFICAÇÃO DE 01 (UMA) PRAÇA NO MUNICÍPIO DE PORTO SEGURO, TODAS NO ESTADO DA BAHIA, ÁREA DE ABRANGÊNCIA DA 2ª SUPERINTENDÊNCIA REGIONAL DA CODEVASF</v>
      </c>
      <c r="B4" s="341"/>
      <c r="C4" s="341"/>
      <c r="D4" s="341"/>
      <c r="E4" s="342"/>
    </row>
    <row r="5" spans="1:9">
      <c r="A5" s="343"/>
      <c r="B5" s="344"/>
      <c r="C5" s="344"/>
      <c r="D5" s="344"/>
      <c r="E5" s="345"/>
      <c r="F5" s="191"/>
      <c r="G5" s="154" t="s">
        <v>237</v>
      </c>
      <c r="H5" s="154">
        <v>1374.34</v>
      </c>
      <c r="I5" s="191" t="s">
        <v>40</v>
      </c>
    </row>
    <row r="6" spans="1:9" ht="38.1" customHeight="1">
      <c r="A6" s="343"/>
      <c r="B6" s="344"/>
      <c r="C6" s="344"/>
      <c r="D6" s="344"/>
      <c r="E6" s="345"/>
      <c r="H6" s="192"/>
    </row>
    <row r="7" spans="1:9" ht="14.25">
      <c r="A7" s="352" t="s">
        <v>515</v>
      </c>
      <c r="B7" s="352"/>
      <c r="C7" s="352"/>
      <c r="D7" s="352"/>
      <c r="E7" s="352"/>
      <c r="F7" s="154" t="s">
        <v>238</v>
      </c>
      <c r="H7" s="192">
        <v>0.1</v>
      </c>
      <c r="I7" s="154" t="s">
        <v>54</v>
      </c>
    </row>
    <row r="8" spans="1:9">
      <c r="A8" s="193">
        <f>'Planilha - IBOTIRAMA'!A20</f>
        <v>2</v>
      </c>
      <c r="B8" s="194" t="str">
        <f>'Planilha - IBOTIRAMA'!D20</f>
        <v>TERRAPLENAGEM</v>
      </c>
      <c r="C8" s="346"/>
      <c r="D8" s="346"/>
      <c r="E8" s="346"/>
      <c r="F8" s="154" t="s">
        <v>239</v>
      </c>
      <c r="H8" s="192">
        <v>1</v>
      </c>
    </row>
    <row r="9" spans="1:9" ht="38.25">
      <c r="A9" s="195" t="str">
        <f>'Planilha - IBOTIRAMA'!A21</f>
        <v>2.1</v>
      </c>
      <c r="B9" s="196" t="str">
        <f>'Planilha - IBOTIRAMA'!D21</f>
        <v>Limpeza mecanizada de camada vegetal, vegetação e pequenas árvores (diâmetro de tronco menor que 0,20 m), com trator de esteiras.</v>
      </c>
      <c r="C9" s="25" t="str">
        <f>'Planilha - IBOTIRAMA'!E21</f>
        <v>M2</v>
      </c>
      <c r="D9" s="197" t="s">
        <v>240</v>
      </c>
      <c r="E9" s="198">
        <f>H5</f>
        <v>1374.34</v>
      </c>
      <c r="F9" s="191" t="s">
        <v>241</v>
      </c>
      <c r="H9" s="192">
        <v>10</v>
      </c>
      <c r="I9" s="154" t="s">
        <v>227</v>
      </c>
    </row>
    <row r="10" spans="1:9" ht="38.25">
      <c r="A10" s="195" t="str">
        <f>'Planilha - IBOTIRAMA'!A22</f>
        <v>2.2</v>
      </c>
      <c r="B10" s="196" t="str">
        <f>'Planilha - IBOTIRAMA'!D22</f>
        <v>Execução e compactação de aterro com solo predominantemente argiloso - exclusive solo, escavação, carga e transporte.</v>
      </c>
      <c r="C10" s="25" t="str">
        <f>'Planilha - IBOTIRAMA'!E22</f>
        <v>M3</v>
      </c>
      <c r="D10" s="197" t="s">
        <v>242</v>
      </c>
      <c r="E10" s="289">
        <f>H5*H7*H8</f>
        <v>137.434</v>
      </c>
      <c r="F10" s="191" t="s">
        <v>243</v>
      </c>
      <c r="H10" s="192">
        <v>10</v>
      </c>
      <c r="I10" s="154" t="s">
        <v>227</v>
      </c>
    </row>
    <row r="11" spans="1:9" ht="25.5">
      <c r="A11" s="195" t="str">
        <f>'Planilha - IBOTIRAMA'!A23</f>
        <v>2.3</v>
      </c>
      <c r="B11" s="196" t="str">
        <f>'Planilha - IBOTIRAMA'!D23</f>
        <v>Transporte com caminhão basculante de 10 m³, em via urbana em revestimento primário (unidade: m3xkm).</v>
      </c>
      <c r="C11" s="25" t="str">
        <f>'Planilha - IBOTIRAMA'!E23</f>
        <v>M3XKM</v>
      </c>
      <c r="D11" s="197" t="s">
        <v>244</v>
      </c>
      <c r="E11" s="198">
        <f>E10*H9</f>
        <v>1374.34</v>
      </c>
      <c r="F11" s="191"/>
      <c r="H11" s="192"/>
    </row>
    <row r="12" spans="1:9" ht="51">
      <c r="A12" s="195" t="str">
        <f>'Planilha - IBOTIRAMA'!A24</f>
        <v>2.4</v>
      </c>
      <c r="B12" s="196" t="str">
        <f>'Planilha - IBOTIRAMA'!D24</f>
        <v>Carga, manobra e descarga de solos e materiais granulares em caminhão basculante 10 m³ - carga com pá carregadeira (caçamba de 1,7 a 2,8 m³ / 128 hp) e descarga livre (unidade: m3).</v>
      </c>
      <c r="C12" s="25" t="str">
        <f>'Planilha - IBOTIRAMA'!E24</f>
        <v>M3</v>
      </c>
      <c r="D12" s="197" t="s">
        <v>245</v>
      </c>
      <c r="E12" s="198">
        <f>E10</f>
        <v>137.434</v>
      </c>
      <c r="F12" s="191"/>
      <c r="H12" s="192"/>
    </row>
    <row r="13" spans="1:9" ht="25.5">
      <c r="A13" s="195" t="str">
        <f>'Planilha - IBOTIRAMA'!A25</f>
        <v>2.5</v>
      </c>
      <c r="B13" s="196" t="str">
        <f>'Planilha - IBOTIRAMA'!D25</f>
        <v>Demolição de lajes, de forma mecanizada com martelete, sem reaproveitamento.</v>
      </c>
      <c r="C13" s="25" t="str">
        <f>'Planilha - IBOTIRAMA'!E25</f>
        <v>M3</v>
      </c>
      <c r="D13" s="197" t="s">
        <v>246</v>
      </c>
      <c r="E13" s="198">
        <v>13.215</v>
      </c>
      <c r="F13" s="191" t="s">
        <v>247</v>
      </c>
      <c r="H13" s="192">
        <v>220.25</v>
      </c>
    </row>
    <row r="14" spans="1:9" ht="25.5">
      <c r="A14" s="195" t="str">
        <f>'Planilha - IBOTIRAMA'!A26</f>
        <v>2.6</v>
      </c>
      <c r="B14" s="196" t="str">
        <f>'Planilha - IBOTIRAMA'!D26</f>
        <v>Transporte com caminhão basculante de 10 m³, em via urbana em revestimento primário (unidade: m3xkm).</v>
      </c>
      <c r="C14" s="25" t="str">
        <f>'Planilha - IBOTIRAMA'!E26</f>
        <v>M3XKM</v>
      </c>
      <c r="D14" s="197" t="s">
        <v>248</v>
      </c>
      <c r="E14" s="198">
        <f>E13*H10</f>
        <v>132.15</v>
      </c>
      <c r="F14" s="191"/>
      <c r="H14" s="192"/>
    </row>
    <row r="15" spans="1:9">
      <c r="A15" s="195" t="str">
        <f>'Planilha - IBOTIRAMA'!A27</f>
        <v>2.7</v>
      </c>
      <c r="B15" s="196" t="str">
        <f>'Planilha - IBOTIRAMA'!D27</f>
        <v>Espalhamento de material em bota-fora</v>
      </c>
      <c r="C15" s="25" t="str">
        <f>'Planilha - IBOTIRAMA'!E27</f>
        <v>m³</v>
      </c>
      <c r="D15" s="197" t="s">
        <v>249</v>
      </c>
      <c r="E15" s="198">
        <f>E13</f>
        <v>13.215</v>
      </c>
      <c r="F15" s="191"/>
      <c r="H15" s="192"/>
    </row>
    <row r="16" spans="1:9">
      <c r="A16" s="347"/>
      <c r="B16" s="347"/>
      <c r="C16" s="347"/>
      <c r="D16" s="347"/>
      <c r="E16" s="347"/>
    </row>
    <row r="17" spans="1:13">
      <c r="A17" s="193">
        <f>'Planilha - IBOTIRAMA'!A29</f>
        <v>3</v>
      </c>
      <c r="B17" s="194" t="str">
        <f>'Planilha - IBOTIRAMA'!D29</f>
        <v>PAVIMENTAÇÃO E GUIAS</v>
      </c>
      <c r="C17" s="346"/>
      <c r="D17" s="346"/>
      <c r="E17" s="346"/>
    </row>
    <row r="18" spans="1:13">
      <c r="A18" s="193" t="str">
        <f>'Planilha - IBOTIRAMA'!A30</f>
        <v>3.1</v>
      </c>
      <c r="B18" s="199" t="str">
        <f>'Planilha - IBOTIRAMA'!B30</f>
        <v>INTERTRAVADO</v>
      </c>
      <c r="C18" s="25"/>
      <c r="D18" s="197"/>
      <c r="E18" s="197"/>
      <c r="F18" s="191"/>
      <c r="I18" s="191"/>
      <c r="J18" s="191"/>
      <c r="L18" s="191"/>
      <c r="M18" s="191"/>
    </row>
    <row r="19" spans="1:13" ht="25.5">
      <c r="A19" s="195" t="str">
        <f>'Planilha - IBOTIRAMA'!A31</f>
        <v>3.1.1</v>
      </c>
      <c r="B19" s="196" t="str">
        <f>'Planilha - IBOTIRAMA'!D31</f>
        <v>Escavação manual de vala com profundidade menor ou igual a 1,30 m c 02/2021</v>
      </c>
      <c r="C19" s="25" t="str">
        <f>'Planilha - IBOTIRAMA'!E31</f>
        <v>m³</v>
      </c>
      <c r="D19" s="197" t="s">
        <v>250</v>
      </c>
      <c r="E19" s="197">
        <f>H19*0.15*0.15</f>
        <v>5.0039999999999996</v>
      </c>
      <c r="F19" s="191" t="s">
        <v>251</v>
      </c>
      <c r="H19" s="154">
        <f>(3.14+2.7+5+1.46*2+4.24*2)/0.1</f>
        <v>222.4</v>
      </c>
      <c r="I19" s="191"/>
      <c r="J19" s="191"/>
      <c r="L19" s="191"/>
      <c r="M19" s="191"/>
    </row>
    <row r="20" spans="1:13" ht="25.5">
      <c r="A20" s="195" t="str">
        <f>'Planilha - IBOTIRAMA'!A32</f>
        <v>3.1.2</v>
      </c>
      <c r="B20" s="196" t="str">
        <f>'Planilha - IBOTIRAMA'!D32</f>
        <v>Lastro de concreto magro, aplicado em pisos, lajes sobre solo ou radier, espessura de 3 cm.</v>
      </c>
      <c r="C20" s="25" t="str">
        <f>'Planilha - IBOTIRAMA'!E32</f>
        <v>m²</v>
      </c>
      <c r="D20" s="197" t="s">
        <v>252</v>
      </c>
      <c r="E20" s="197">
        <f>H19*0.15</f>
        <v>33.36</v>
      </c>
      <c r="I20" s="191"/>
      <c r="J20" s="191"/>
      <c r="M20" s="191"/>
    </row>
    <row r="21" spans="1:13" ht="51">
      <c r="A21" s="195" t="str">
        <f>'Planilha - IBOTIRAMA'!A33</f>
        <v>3.1.3</v>
      </c>
      <c r="B21" s="196" t="str">
        <f>'Planilha - IBOTIRAMA'!D33</f>
        <v>Assentamento de guia (meio-fio) em trecho curvo, confeccionada em concreto pré-fabricado, dimensões 80x08x08x25 cm (comprimento x base inferior x base superior x altura), para urbanização.</v>
      </c>
      <c r="C21" s="25" t="str">
        <f>'Planilha - IBOTIRAMA'!E33</f>
        <v>m</v>
      </c>
      <c r="D21" s="197" t="s">
        <v>253</v>
      </c>
      <c r="E21" s="198">
        <f>H19</f>
        <v>222.4</v>
      </c>
      <c r="I21" s="191"/>
      <c r="J21" s="191"/>
      <c r="M21" s="191"/>
    </row>
    <row r="22" spans="1:13" ht="38.25">
      <c r="A22" s="195" t="str">
        <f>'Planilha - IBOTIRAMA'!A34</f>
        <v>3.1.4</v>
      </c>
      <c r="B22" s="196" t="str">
        <f>'Planilha - IBOTIRAMA'!D34</f>
        <v>Reaterro manual apiloado com soquete</v>
      </c>
      <c r="C22" s="25" t="str">
        <f>'Planilha - IBOTIRAMA'!E34</f>
        <v>m³</v>
      </c>
      <c r="D22" s="197" t="s">
        <v>254</v>
      </c>
      <c r="E22" s="198">
        <f>E19-(H19*0.12*0.07)</f>
        <v>3.1358399999999995</v>
      </c>
      <c r="I22" s="191"/>
    </row>
    <row r="23" spans="1:13" ht="38.25">
      <c r="A23" s="195" t="str">
        <f>'Planilha - IBOTIRAMA'!A35</f>
        <v>3.1.5</v>
      </c>
      <c r="B23" s="196" t="str">
        <f>'Planilha - IBOTIRAMA'!D35</f>
        <v>Execução de passeio em piso intertravado, com bloco retangular colorido (vermelho) de 20 x 10  cm, espessura de 6 cm.</v>
      </c>
      <c r="C23" s="25" t="str">
        <f>'Planilha - IBOTIRAMA'!E35</f>
        <v>m²</v>
      </c>
      <c r="D23" s="197" t="s">
        <v>255</v>
      </c>
      <c r="E23" s="198">
        <f>143.02+17.02*2</f>
        <v>177.06</v>
      </c>
      <c r="I23" s="191"/>
    </row>
    <row r="24" spans="1:13" ht="25.5">
      <c r="A24" s="195" t="str">
        <f>'Planilha - IBOTIRAMA'!A36</f>
        <v>3.1.6</v>
      </c>
      <c r="B24" s="196" t="str">
        <f>'Planilha - IBOTIRAMA'!D36</f>
        <v>Execução de passeio em piso intertravado, com bloco retangular cor natural de 20 x 10  cm, espessura de 6 cm.</v>
      </c>
      <c r="C24" s="25" t="str">
        <f>'Planilha - IBOTIRAMA'!E36</f>
        <v>m²</v>
      </c>
      <c r="D24" s="197" t="s">
        <v>255</v>
      </c>
      <c r="E24" s="198">
        <f>602.1+23.04-1.77*3</f>
        <v>619.83000000000004</v>
      </c>
      <c r="H24" s="154" t="s">
        <v>256</v>
      </c>
      <c r="I24" s="191"/>
      <c r="J24" s="154" t="s">
        <v>257</v>
      </c>
      <c r="K24" s="202">
        <f>1.77*3</f>
        <v>5.3100000000000005</v>
      </c>
    </row>
    <row r="25" spans="1:13">
      <c r="A25" s="193" t="str">
        <f>'Planilha - IBOTIRAMA'!A38</f>
        <v>3.2</v>
      </c>
      <c r="B25" s="200" t="str">
        <f>'Planilha - IBOTIRAMA'!B38</f>
        <v>ACESSIBILIDADE</v>
      </c>
      <c r="C25" s="25"/>
      <c r="D25" s="197"/>
      <c r="E25" s="197"/>
      <c r="F25" s="191"/>
      <c r="I25" s="191"/>
      <c r="J25" s="191"/>
      <c r="L25" s="191"/>
      <c r="M25" s="191"/>
    </row>
    <row r="26" spans="1:13" ht="51">
      <c r="A26" s="195" t="str">
        <f>'Planilha - IBOTIRAMA'!A39</f>
        <v>3.2.1</v>
      </c>
      <c r="B26" s="196" t="str">
        <f>'Planilha - IBOTIRAMA'!D39</f>
        <v>Piso tátil direcional e/ou de alerta, de concreto, colorido, para deficientes visuais, dimensões 25 x 25 cm, aplicado com argamassa industrializada ac-II, rejuntado, exclusive regularização de base</v>
      </c>
      <c r="C26" s="201" t="str">
        <f>'Planilha - IBOTIRAMA'!E39</f>
        <v>m²</v>
      </c>
      <c r="D26" s="197" t="s">
        <v>258</v>
      </c>
      <c r="E26" s="197">
        <v>38.299999999999997</v>
      </c>
      <c r="F26" s="191"/>
      <c r="I26" s="191"/>
      <c r="J26" s="191"/>
      <c r="L26" s="191"/>
      <c r="M26" s="191"/>
    </row>
    <row r="27" spans="1:13" ht="38.25">
      <c r="A27" s="195" t="str">
        <f>'Planilha - IBOTIRAMA'!A40</f>
        <v>3.2.2</v>
      </c>
      <c r="B27" s="196" t="str">
        <f>'Planilha - IBOTIRAMA'!D40</f>
        <v>Execução de passeio (calçada) ou piso de concreto moldado in loco, feito em obra, acabamento convencional, não armado, 6 cm de espessura</v>
      </c>
      <c r="C27" s="201" t="str">
        <f>'Planilha - IBOTIRAMA'!E40</f>
        <v>m³</v>
      </c>
      <c r="D27" s="197" t="s">
        <v>259</v>
      </c>
      <c r="E27" s="197">
        <f>(H13-E26)*0.06</f>
        <v>10.916999999999998</v>
      </c>
      <c r="I27" s="191"/>
      <c r="J27" s="191"/>
      <c r="M27" s="191"/>
    </row>
    <row r="28" spans="1:13" ht="25.5">
      <c r="A28" s="195" t="str">
        <f>'Planilha - IBOTIRAMA'!A41</f>
        <v>3.2.3</v>
      </c>
      <c r="B28" s="196" t="str">
        <f>'Planilha - IBOTIRAMA'!D41</f>
        <v>Execução de rampa de acesso à calçada</v>
      </c>
      <c r="C28" s="201" t="str">
        <f>'Planilha - IBOTIRAMA'!E41</f>
        <v>m³</v>
      </c>
      <c r="D28" s="197" t="s">
        <v>260</v>
      </c>
      <c r="E28" s="198">
        <f>0.2*5</f>
        <v>1</v>
      </c>
      <c r="I28" s="191"/>
      <c r="J28" s="191"/>
      <c r="M28" s="191"/>
    </row>
    <row r="29" spans="1:13" ht="25.5">
      <c r="A29" s="195" t="str">
        <f>'Planilha - IBOTIRAMA'!A42</f>
        <v>3.2.4</v>
      </c>
      <c r="B29" s="196" t="str">
        <f>'Planilha - IBOTIRAMA'!D42</f>
        <v>Execução de rampa de concreto para acesso aos diferentes níveis da praça , fck = 20 mPa, esp. = 10 cm</v>
      </c>
      <c r="C29" s="201" t="str">
        <f>'Planilha - IBOTIRAMA'!E42</f>
        <v>m²</v>
      </c>
      <c r="D29" s="197" t="s">
        <v>261</v>
      </c>
      <c r="E29" s="198">
        <f>7.5*1.2</f>
        <v>9</v>
      </c>
      <c r="I29" s="191"/>
      <c r="J29" s="191"/>
      <c r="M29" s="191"/>
    </row>
    <row r="30" spans="1:13" ht="25.5">
      <c r="A30" s="195" t="str">
        <f>'Planilha - IBOTIRAMA'!A43</f>
        <v>3.2.5</v>
      </c>
      <c r="B30" s="196" t="str">
        <f>'Planilha - IBOTIRAMA'!D43</f>
        <v>Corrimão simples, diâmetro externo = 1 1/2", em aço galvanizado.</v>
      </c>
      <c r="C30" s="201" t="str">
        <f>'Planilha - IBOTIRAMA'!E43</f>
        <v>m</v>
      </c>
      <c r="D30" s="197" t="s">
        <v>262</v>
      </c>
      <c r="E30" s="198">
        <v>9.6999999999999993</v>
      </c>
      <c r="I30" s="191"/>
      <c r="J30" s="191"/>
      <c r="M30" s="191"/>
    </row>
    <row r="31" spans="1:13">
      <c r="A31" s="347"/>
      <c r="B31" s="347"/>
      <c r="C31" s="347"/>
      <c r="D31" s="347"/>
      <c r="E31" s="347"/>
    </row>
    <row r="32" spans="1:13">
      <c r="A32" s="193">
        <f>'Planilha - IBOTIRAMA'!A46</f>
        <v>4</v>
      </c>
      <c r="B32" s="200" t="str">
        <f>'Planilha - IBOTIRAMA'!D46</f>
        <v>PALCO</v>
      </c>
      <c r="C32" s="346"/>
      <c r="D32" s="346"/>
      <c r="E32" s="346"/>
    </row>
    <row r="33" spans="1:16">
      <c r="A33" s="193" t="str">
        <f>'Planilha - IBOTIRAMA'!A47</f>
        <v>4.1</v>
      </c>
      <c r="B33" s="200" t="str">
        <f>'Planilha - IBOTIRAMA'!B47</f>
        <v>FUNDAÇÃO</v>
      </c>
      <c r="C33" s="25"/>
      <c r="D33" s="197"/>
      <c r="E33" s="198"/>
      <c r="F33" s="191"/>
      <c r="H33" s="191"/>
      <c r="I33" s="191"/>
    </row>
    <row r="34" spans="1:16" ht="25.5">
      <c r="A34" s="195" t="str">
        <f>'Planilha - IBOTIRAMA'!A48</f>
        <v>4.1.1</v>
      </c>
      <c r="B34" s="196" t="str">
        <f>'Planilha - IBOTIRAMA'!D48</f>
        <v>Escavação mecanizada com retroescavadeira</v>
      </c>
      <c r="C34" s="201" t="str">
        <f>'Planilha - IBOTIRAMA'!E48</f>
        <v>m³</v>
      </c>
      <c r="D34" s="197" t="s">
        <v>263</v>
      </c>
      <c r="E34" s="198">
        <f>M34*0.5*0.5</f>
        <v>10.6</v>
      </c>
      <c r="F34" s="191"/>
      <c r="H34" s="154" t="s">
        <v>264</v>
      </c>
      <c r="I34" s="154" t="s">
        <v>265</v>
      </c>
      <c r="J34" s="154">
        <v>0.5</v>
      </c>
      <c r="K34" s="154" t="s">
        <v>266</v>
      </c>
      <c r="L34" s="154" t="s">
        <v>265</v>
      </c>
      <c r="M34" s="154">
        <v>42.4</v>
      </c>
      <c r="N34" s="154" t="s">
        <v>267</v>
      </c>
      <c r="O34" s="154" t="s">
        <v>265</v>
      </c>
      <c r="P34" s="154">
        <v>42.4</v>
      </c>
    </row>
    <row r="35" spans="1:16" ht="25.5">
      <c r="A35" s="195" t="str">
        <f>'Planilha - IBOTIRAMA'!A49</f>
        <v>4.1.2</v>
      </c>
      <c r="B35" s="196" t="str">
        <f>'Planilha - IBOTIRAMA'!D49</f>
        <v>Forma plana para estruturas, em compensado resinado de 10 mm, 2 usos, inclusive escoramento</v>
      </c>
      <c r="C35" s="201" t="str">
        <f>'Planilha - IBOTIRAMA'!E49</f>
        <v>M²</v>
      </c>
      <c r="D35" s="197" t="s">
        <v>268</v>
      </c>
      <c r="E35" s="198">
        <f>(((J34*J36)+(J35*J36))*J37)+(M34*M36*2)+(P34*P36*2)</f>
        <v>52.379999999999995</v>
      </c>
      <c r="F35" s="191"/>
      <c r="I35" s="154" t="s">
        <v>269</v>
      </c>
      <c r="J35" s="154">
        <v>0.5</v>
      </c>
      <c r="L35" s="154" t="s">
        <v>269</v>
      </c>
      <c r="M35" s="154">
        <v>0.3</v>
      </c>
      <c r="O35" s="154" t="s">
        <v>269</v>
      </c>
      <c r="P35" s="154">
        <v>0.15</v>
      </c>
    </row>
    <row r="36" spans="1:16" ht="25.5">
      <c r="A36" s="195" t="str">
        <f>'Planilha - IBOTIRAMA'!A50</f>
        <v>4.1.3</v>
      </c>
      <c r="B36" s="196" t="str">
        <f>'Planilha - IBOTIRAMA'!D50</f>
        <v>Lastro de concreto magro, aplicado em pisos, lajes sobre solo ou radier, espessura de 5 cm.</v>
      </c>
      <c r="C36" s="201" t="str">
        <f>'Planilha - IBOTIRAMA'!E50</f>
        <v>m²</v>
      </c>
      <c r="D36" s="197" t="s">
        <v>270</v>
      </c>
      <c r="E36" s="198">
        <f>(E38/0.3)*0.05</f>
        <v>1.0164999999999997</v>
      </c>
      <c r="F36" s="191"/>
      <c r="I36" s="154" t="s">
        <v>271</v>
      </c>
      <c r="J36" s="154">
        <v>0.25</v>
      </c>
      <c r="L36" s="154" t="s">
        <v>271</v>
      </c>
      <c r="M36" s="154">
        <v>0.3</v>
      </c>
      <c r="O36" s="154" t="s">
        <v>271</v>
      </c>
      <c r="P36" s="154">
        <v>0.3</v>
      </c>
    </row>
    <row r="37" spans="1:16" ht="25.5">
      <c r="A37" s="195" t="str">
        <f>'Planilha - IBOTIRAMA'!A51</f>
        <v>4.1.4</v>
      </c>
      <c r="B37" s="196" t="str">
        <f>'Planilha - IBOTIRAMA'!D51</f>
        <v>Armação de pilar ou viga de uma estrutura convencional de concreto armado</v>
      </c>
      <c r="C37" s="201" t="str">
        <f>'Planilha - IBOTIRAMA'!E51</f>
        <v>KG</v>
      </c>
      <c r="D37" s="197" t="s">
        <v>272</v>
      </c>
      <c r="E37" s="198">
        <f>E38*80</f>
        <v>487.91999999999985</v>
      </c>
      <c r="F37" s="191"/>
      <c r="I37" s="154" t="s">
        <v>273</v>
      </c>
      <c r="J37" s="154">
        <v>6</v>
      </c>
    </row>
    <row r="38" spans="1:16" ht="38.25">
      <c r="A38" s="195" t="str">
        <f>'Planilha - IBOTIRAMA'!A52</f>
        <v>4.1.5</v>
      </c>
      <c r="B38" s="196" t="str">
        <f>'Planilha - IBOTIRAMA'!D52</f>
        <v>Concreto FCK = 25 mPa, traço 1:2,3:2,7 (em massa seca de cimento / areia média / brita 1) - preparo mecâncico com betoneira 400 l</v>
      </c>
      <c r="C38" s="201" t="str">
        <f>'Planilha - IBOTIRAMA'!E52</f>
        <v>m³</v>
      </c>
      <c r="D38" s="197" t="s">
        <v>268</v>
      </c>
      <c r="E38" s="198">
        <f>J38+M38+P38</f>
        <v>6.0989999999999984</v>
      </c>
      <c r="F38" s="191"/>
      <c r="I38" s="154" t="s">
        <v>274</v>
      </c>
      <c r="J38" s="154">
        <f>J34*J35*J36*J37</f>
        <v>0.375</v>
      </c>
      <c r="L38" s="154" t="s">
        <v>274</v>
      </c>
      <c r="M38" s="154">
        <f>M34*M35*M36</f>
        <v>3.8159999999999994</v>
      </c>
      <c r="O38" s="154" t="s">
        <v>274</v>
      </c>
      <c r="P38" s="154">
        <f>P34*P35*P36</f>
        <v>1.9079999999999997</v>
      </c>
    </row>
    <row r="39" spans="1:16">
      <c r="A39" s="195" t="str">
        <f>'Planilha - IBOTIRAMA'!A53</f>
        <v>4.1.6</v>
      </c>
      <c r="B39" s="196" t="str">
        <f>'Planilha - IBOTIRAMA'!D53</f>
        <v>Reaterro manual apiloado com soquete</v>
      </c>
      <c r="C39" s="201" t="str">
        <f>'Planilha - IBOTIRAMA'!E53</f>
        <v>m³</v>
      </c>
      <c r="D39" s="197" t="s">
        <v>275</v>
      </c>
      <c r="E39" s="198">
        <f>E34-E38-E36</f>
        <v>3.4845000000000015</v>
      </c>
      <c r="F39" s="191"/>
      <c r="H39" s="191"/>
      <c r="I39" s="191"/>
    </row>
    <row r="40" spans="1:16" ht="25.5">
      <c r="A40" s="195" t="str">
        <f>'Planilha - IBOTIRAMA'!A54</f>
        <v>4.1.7</v>
      </c>
      <c r="B40" s="196" t="str">
        <f>'Planilha - IBOTIRAMA'!D54</f>
        <v>Impermeabilização de superfície com emulsão asfáltica, duas demãos (baldrame)</v>
      </c>
      <c r="C40" s="201" t="str">
        <f>'Planilha - IBOTIRAMA'!E54</f>
        <v>m³</v>
      </c>
      <c r="D40" s="197" t="s">
        <v>276</v>
      </c>
      <c r="E40" s="198">
        <f>M34*M36*2</f>
        <v>25.439999999999998</v>
      </c>
      <c r="F40" s="191"/>
      <c r="H40" s="191"/>
      <c r="I40" s="191"/>
    </row>
    <row r="41" spans="1:16">
      <c r="A41" s="193" t="str">
        <f>'Planilha - IBOTIRAMA'!A56</f>
        <v>4.2</v>
      </c>
      <c r="B41" s="200" t="str">
        <f>'Planilha - IBOTIRAMA'!B56</f>
        <v>ALVENARIA E REVESTIMENTOS</v>
      </c>
      <c r="C41" s="25"/>
      <c r="D41" s="197"/>
      <c r="E41" s="198"/>
      <c r="F41" s="191"/>
      <c r="G41" s="154" t="s">
        <v>277</v>
      </c>
      <c r="H41" s="191">
        <v>105.87</v>
      </c>
      <c r="I41" s="191"/>
    </row>
    <row r="42" spans="1:16" ht="51">
      <c r="A42" s="195" t="str">
        <f>'Planilha - IBOTIRAMA'!A57</f>
        <v>4.2.1</v>
      </c>
      <c r="B42" s="196" t="str">
        <f>'Planilha - IBOTIRAMA'!D57</f>
        <v>Alvenaria estrutural de blocos cerâmicos 14x19x39, (espessura de 14 cm ), para paredes com área líquida maior ou igual que 6m², sem vãos, utilizando palheta e argamassa de assentamento com preparo manual.</v>
      </c>
      <c r="C42" s="201" t="str">
        <f>'Planilha - IBOTIRAMA'!E57</f>
        <v>m²</v>
      </c>
      <c r="D42" s="197" t="s">
        <v>278</v>
      </c>
      <c r="E42" s="198">
        <f>ROUND(H42*H43,2)</f>
        <v>21.2</v>
      </c>
      <c r="F42" s="191"/>
      <c r="G42" s="154" t="s">
        <v>279</v>
      </c>
      <c r="H42" s="191">
        <v>42.39</v>
      </c>
      <c r="I42" s="191"/>
    </row>
    <row r="43" spans="1:16">
      <c r="A43" s="195" t="str">
        <f>'Planilha - IBOTIRAMA'!A58</f>
        <v>4.2.2</v>
      </c>
      <c r="B43" s="196" t="str">
        <f>'Planilha - IBOTIRAMA'!D58</f>
        <v>Chapisco aplicado em alvenarias e estruturas de concreto</v>
      </c>
      <c r="C43" s="201" t="str">
        <f>'Planilha - IBOTIRAMA'!E58</f>
        <v>m²</v>
      </c>
      <c r="D43" s="197" t="s">
        <v>280</v>
      </c>
      <c r="E43" s="198">
        <f>E42</f>
        <v>21.2</v>
      </c>
      <c r="F43" s="191"/>
      <c r="G43" s="154" t="s">
        <v>281</v>
      </c>
      <c r="H43" s="191">
        <v>0.5</v>
      </c>
      <c r="I43" s="191"/>
    </row>
    <row r="44" spans="1:16">
      <c r="A44" s="195" t="str">
        <f>'Planilha - IBOTIRAMA'!A59</f>
        <v>4.2.3</v>
      </c>
      <c r="B44" s="196" t="str">
        <f>'Planilha - IBOTIRAMA'!D59</f>
        <v>Massa única para recebimento de pintura</v>
      </c>
      <c r="C44" s="201" t="str">
        <f>'Planilha - IBOTIRAMA'!E59</f>
        <v>m²</v>
      </c>
      <c r="D44" s="197" t="s">
        <v>280</v>
      </c>
      <c r="E44" s="198">
        <f>E43</f>
        <v>21.2</v>
      </c>
      <c r="F44" s="191"/>
      <c r="H44" s="191"/>
      <c r="I44" s="191"/>
    </row>
    <row r="45" spans="1:16">
      <c r="A45" s="193" t="str">
        <f>'Planilha - IBOTIRAMA'!A61</f>
        <v>4.3</v>
      </c>
      <c r="B45" s="200" t="str">
        <f>'Planilha - IBOTIRAMA'!B61</f>
        <v>ALTEAMENTO DO PALCO</v>
      </c>
      <c r="C45" s="25"/>
      <c r="D45" s="197"/>
      <c r="E45" s="198"/>
      <c r="F45" s="191"/>
      <c r="H45" s="191"/>
      <c r="I45" s="191"/>
    </row>
    <row r="46" spans="1:16" ht="38.25">
      <c r="A46" s="195" t="str">
        <f>'Planilha - IBOTIRAMA'!A62</f>
        <v>4.3.1</v>
      </c>
      <c r="B46" s="196" t="str">
        <f>'Planilha - IBOTIRAMA'!D62</f>
        <v>Execução e compactação de aterro com solo predominantemente argiloso - exclusive solo, escavação, carga e transporte. af_11/2019</v>
      </c>
      <c r="C46" s="201" t="str">
        <f>'Planilha - IBOTIRAMA'!E62</f>
        <v>M3</v>
      </c>
      <c r="D46" s="197" t="s">
        <v>282</v>
      </c>
      <c r="E46" s="198">
        <f>H41*0.5</f>
        <v>52.935000000000002</v>
      </c>
      <c r="F46" s="191"/>
      <c r="H46" s="191"/>
      <c r="I46" s="191"/>
    </row>
    <row r="47" spans="1:16" ht="25.5">
      <c r="A47" s="195" t="str">
        <f>'Planilha - IBOTIRAMA'!A63</f>
        <v>4.3.2</v>
      </c>
      <c r="B47" s="196" t="str">
        <f>'Planilha - IBOTIRAMA'!D63</f>
        <v>Transporte com caminhão basculante de 10 m³, em via urbana em revestimento primário (unidade: m3xkm).</v>
      </c>
      <c r="C47" s="201" t="str">
        <f>'Planilha - IBOTIRAMA'!E63</f>
        <v>M3XKM</v>
      </c>
      <c r="D47" s="197" t="s">
        <v>283</v>
      </c>
      <c r="E47" s="198">
        <f>E46*H9</f>
        <v>529.35</v>
      </c>
      <c r="F47" s="191"/>
      <c r="H47" s="191"/>
      <c r="I47" s="191"/>
    </row>
    <row r="48" spans="1:16" ht="51">
      <c r="A48" s="195" t="str">
        <f>'Planilha - IBOTIRAMA'!A64</f>
        <v>4.3.3</v>
      </c>
      <c r="B48" s="196" t="str">
        <f>'Planilha - IBOTIRAMA'!D64</f>
        <v>Carga, manobra e descarga de solos e materiais granulares em caminhão basculante 10 m³ - carga com pá carregadeira (caçamba de 1,7 a 2,8 m³ / 128 hp) e descarga livre (unidade: m3).</v>
      </c>
      <c r="C48" s="201" t="str">
        <f>'Planilha - IBOTIRAMA'!E64</f>
        <v>M3</v>
      </c>
      <c r="D48" s="197" t="s">
        <v>282</v>
      </c>
      <c r="E48" s="198">
        <f>E46</f>
        <v>52.935000000000002</v>
      </c>
      <c r="F48" s="191"/>
      <c r="H48" s="191"/>
      <c r="I48" s="191"/>
    </row>
    <row r="49" spans="1:10">
      <c r="A49" s="193" t="str">
        <f>'Planilha - IBOTIRAMA'!A66</f>
        <v>4.4</v>
      </c>
      <c r="B49" s="200" t="str">
        <f>'Planilha - IBOTIRAMA'!B66</f>
        <v>PISO</v>
      </c>
      <c r="C49" s="201"/>
      <c r="D49" s="197"/>
      <c r="E49" s="198"/>
      <c r="F49" s="191"/>
      <c r="H49" s="191"/>
      <c r="I49" s="191"/>
    </row>
    <row r="50" spans="1:10" ht="25.5">
      <c r="A50" s="195" t="str">
        <f>'Planilha - IBOTIRAMA'!A67</f>
        <v>4.4.1</v>
      </c>
      <c r="B50" s="196" t="str">
        <f>'Planilha - IBOTIRAMA'!D67</f>
        <v>Lastro de concreto magro, aplicado em pisos, lajes sobre solo ou radier, espessura de 5 cm.</v>
      </c>
      <c r="C50" s="201" t="str">
        <f>'Planilha - IBOTIRAMA'!E67</f>
        <v>m²</v>
      </c>
      <c r="D50" s="197" t="s">
        <v>284</v>
      </c>
      <c r="E50" s="198">
        <f>H41</f>
        <v>105.87</v>
      </c>
      <c r="F50" s="191"/>
      <c r="H50" s="191"/>
      <c r="I50" s="191"/>
    </row>
    <row r="51" spans="1:10">
      <c r="A51" s="195" t="str">
        <f>'Planilha - IBOTIRAMA'!A68</f>
        <v>4.4.2</v>
      </c>
      <c r="B51" s="196" t="str">
        <f>'Planilha - IBOTIRAMA'!D68</f>
        <v>Piso cimentado liso traço 1:5, e = 2,5 cm</v>
      </c>
      <c r="C51" s="201" t="str">
        <f>'Planilha - IBOTIRAMA'!E68</f>
        <v>m²</v>
      </c>
      <c r="D51" s="197" t="s">
        <v>284</v>
      </c>
      <c r="E51" s="198">
        <f>H41</f>
        <v>105.87</v>
      </c>
      <c r="F51" s="191"/>
      <c r="H51" s="191"/>
      <c r="I51" s="191"/>
    </row>
    <row r="52" spans="1:10">
      <c r="A52" s="193" t="str">
        <f>'Planilha - IBOTIRAMA'!A70</f>
        <v>4.5</v>
      </c>
      <c r="B52" s="200" t="str">
        <f>'Planilha - IBOTIRAMA'!B70</f>
        <v>COBERTURA</v>
      </c>
      <c r="C52" s="201"/>
      <c r="D52" s="197"/>
      <c r="E52" s="198"/>
      <c r="F52" s="191"/>
      <c r="H52" s="191"/>
      <c r="I52" s="191"/>
    </row>
    <row r="53" spans="1:10" ht="25.5">
      <c r="A53" s="195" t="str">
        <f>'Planilha - IBOTIRAMA'!A71</f>
        <v>4.5.1</v>
      </c>
      <c r="B53" s="196" t="str">
        <f>'Planilha - IBOTIRAMA'!D71</f>
        <v>Projeto estrutural de aço/alumínio/madeira até 500m². Observação: Área de projeção.</v>
      </c>
      <c r="C53" s="201" t="str">
        <f>'Planilha - IBOTIRAMA'!E71</f>
        <v>M2</v>
      </c>
      <c r="D53" s="197" t="s">
        <v>285</v>
      </c>
      <c r="E53" s="198">
        <v>127.5</v>
      </c>
      <c r="F53" s="191"/>
      <c r="H53" s="191"/>
      <c r="I53" s="191"/>
    </row>
    <row r="54" spans="1:10" ht="51">
      <c r="A54" s="195" t="str">
        <f>'Planilha - IBOTIRAMA'!A72</f>
        <v>4.5.2</v>
      </c>
      <c r="B54" s="196" t="str">
        <f>'Planilha - IBOTIRAMA'!D72</f>
        <v>Estrutura Metálica p/ Cobertura c/Vigas-Treliça Pratt UDC75 e terças em UDC 127, 2 águas, sem lanternin, vãos 6,0 a 10,0m, pintado 1 d oxido ferro + 2 d esmalte epóxi branco, exceto forn. Telhas - Executada</v>
      </c>
      <c r="C54" s="201" t="str">
        <f>'Planilha - IBOTIRAMA'!E72</f>
        <v>M2</v>
      </c>
      <c r="D54" s="197" t="s">
        <v>285</v>
      </c>
      <c r="E54" s="198">
        <v>127.5</v>
      </c>
      <c r="F54" s="191"/>
      <c r="H54" s="191"/>
      <c r="I54" s="191"/>
    </row>
    <row r="55" spans="1:10" ht="51">
      <c r="A55" s="195" t="str">
        <f>'Planilha - IBOTIRAMA'!A73</f>
        <v>4.5.3</v>
      </c>
      <c r="B55" s="196" t="str">
        <f>'Planilha - IBOTIRAMA'!D73</f>
        <v>Coluna metálica, em perfis UDC127x50x5,13, diagonais duplas, diversos usos ou composição de pórticos vãos 10,01m a 20,0m,, largura 0,60m, PDmax. 7,00 , pintura 01 demão epoxi fundo óxido ferro + 02 demãos esmalte epoxi branco</v>
      </c>
      <c r="C55" s="201" t="str">
        <f>'Planilha - IBOTIRAMA'!E73</f>
        <v>m</v>
      </c>
      <c r="D55" s="197" t="s">
        <v>286</v>
      </c>
      <c r="E55" s="198">
        <f>5*6</f>
        <v>30</v>
      </c>
      <c r="F55" s="191"/>
      <c r="H55" s="191"/>
      <c r="I55" s="191"/>
    </row>
    <row r="56" spans="1:10" ht="25.5">
      <c r="A56" s="195" t="str">
        <f>'Planilha - IBOTIRAMA'!A74</f>
        <v>4.5.4</v>
      </c>
      <c r="B56" s="196" t="str">
        <f>'Planilha - IBOTIRAMA'!D74</f>
        <v>Telhamento com telha em aço galvalume, simples, ondulada, não pintada, OND17 - 0,65mm, Kingspan- Isoeste ou similar</v>
      </c>
      <c r="C56" s="201" t="str">
        <f>'Planilha - IBOTIRAMA'!E74</f>
        <v>m2</v>
      </c>
      <c r="D56" s="197" t="s">
        <v>285</v>
      </c>
      <c r="E56" s="198">
        <f>E53</f>
        <v>127.5</v>
      </c>
      <c r="F56" s="191"/>
      <c r="H56" s="191"/>
      <c r="I56" s="191"/>
    </row>
    <row r="57" spans="1:10" ht="25.5">
      <c r="A57" s="195" t="str">
        <f>'Planilha - IBOTIRAMA'!A75</f>
        <v>4.5.5</v>
      </c>
      <c r="B57" s="196" t="str">
        <f>'Planilha - IBOTIRAMA'!D75</f>
        <v>Fechamento lateral com telha em aço galvalume, simples, trapezoidal, não pintada, TP40, e=0,65mm, Isoeste ou similar</v>
      </c>
      <c r="C57" s="201" t="str">
        <f>'Planilha - IBOTIRAMA'!E75</f>
        <v>m2</v>
      </c>
      <c r="D57" s="197" t="s">
        <v>287</v>
      </c>
      <c r="E57" s="198">
        <f>45.92*1.2</f>
        <v>55.103999999999999</v>
      </c>
      <c r="F57" s="191"/>
      <c r="H57" s="191"/>
      <c r="I57" s="191"/>
    </row>
    <row r="58" spans="1:10">
      <c r="A58" s="347"/>
      <c r="B58" s="347"/>
      <c r="C58" s="347"/>
      <c r="D58" s="347"/>
      <c r="E58" s="347"/>
    </row>
    <row r="59" spans="1:10">
      <c r="A59" s="193">
        <f>'Planilha - IBOTIRAMA'!A78</f>
        <v>5</v>
      </c>
      <c r="B59" s="194" t="str">
        <f>'Planilha - IBOTIRAMA'!D78</f>
        <v>INSTALAÇÕES ELÉTRICAS (Praça)</v>
      </c>
      <c r="C59" s="346"/>
      <c r="D59" s="346"/>
      <c r="E59" s="346"/>
      <c r="F59" s="191" t="s">
        <v>229</v>
      </c>
      <c r="H59" s="191">
        <v>405</v>
      </c>
      <c r="I59" s="191" t="s">
        <v>54</v>
      </c>
    </row>
    <row r="60" spans="1:10" ht="25.5">
      <c r="A60" s="195" t="str">
        <f>'Planilha - IBOTIRAMA'!A79</f>
        <v>5.1</v>
      </c>
      <c r="B60" s="196" t="str">
        <f>'Planilha - IBOTIRAMA'!D79</f>
        <v>Entrada de energia elétrica trifásica, com poste de concreto duplo T, quadro, caixa de inspeção e disjuntor.</v>
      </c>
      <c r="C60" s="195" t="str">
        <f>'Planilha - IBOTIRAMA'!E79</f>
        <v>und</v>
      </c>
      <c r="D60" s="197" t="s">
        <v>228</v>
      </c>
      <c r="E60" s="198">
        <v>1</v>
      </c>
      <c r="F60" s="191" t="s">
        <v>230</v>
      </c>
      <c r="H60" s="154">
        <v>65</v>
      </c>
      <c r="I60" s="191" t="s">
        <v>54</v>
      </c>
      <c r="J60" s="154">
        <f>H60+H59</f>
        <v>470</v>
      </c>
    </row>
    <row r="61" spans="1:10" ht="38.25">
      <c r="A61" s="195" t="str">
        <f>'Planilha - IBOTIRAMA'!A80</f>
        <v>5.2</v>
      </c>
      <c r="B61" s="196" t="str">
        <f>'Planilha - IBOTIRAMA'!D80</f>
        <v>Escavação mecanizada com retroescavadeira</v>
      </c>
      <c r="C61" s="195" t="str">
        <f>'Planilha - IBOTIRAMA'!E80</f>
        <v>m³</v>
      </c>
      <c r="D61" s="197" t="s">
        <v>288</v>
      </c>
      <c r="E61" s="198">
        <f>(E66+E67)*0.3*0.3</f>
        <v>2.7386999999999997</v>
      </c>
      <c r="F61" s="191" t="s">
        <v>226</v>
      </c>
      <c r="H61" s="154">
        <v>0.3</v>
      </c>
      <c r="I61" s="191" t="s">
        <v>54</v>
      </c>
    </row>
    <row r="62" spans="1:10" ht="38.25">
      <c r="A62" s="195" t="str">
        <f>'Planilha - IBOTIRAMA'!A81</f>
        <v>5.3</v>
      </c>
      <c r="B62" s="196" t="str">
        <f>'Planilha - IBOTIRAMA'!D81</f>
        <v>reaterro manual apiloado com soquete. af_10/2017</v>
      </c>
      <c r="C62" s="195" t="str">
        <f>'Planilha - IBOTIRAMA'!E81</f>
        <v>M³</v>
      </c>
      <c r="D62" s="197" t="s">
        <v>289</v>
      </c>
      <c r="E62" s="198">
        <f>E61-E63-(H64*(E66+E67))</f>
        <v>2.2735811483861244</v>
      </c>
      <c r="F62" s="191" t="s">
        <v>231</v>
      </c>
      <c r="H62" s="154">
        <v>0.3</v>
      </c>
      <c r="I62" s="191" t="s">
        <v>54</v>
      </c>
    </row>
    <row r="63" spans="1:10">
      <c r="A63" s="195" t="str">
        <f>'Planilha - IBOTIRAMA'!A82</f>
        <v>5.4</v>
      </c>
      <c r="B63" s="196" t="str">
        <f>'Planilha - IBOTIRAMA'!D82</f>
        <v>Colchão de areia, espessura de 5 cm</v>
      </c>
      <c r="C63" s="195" t="str">
        <f>'Planilha - IBOTIRAMA'!E82</f>
        <v>M³</v>
      </c>
      <c r="D63" s="197" t="s">
        <v>228</v>
      </c>
      <c r="E63" s="198">
        <f>(E66+E67)*0.3*0.05</f>
        <v>0.45645000000000002</v>
      </c>
      <c r="F63" s="191" t="s">
        <v>232</v>
      </c>
      <c r="H63" s="154">
        <f>H66-(J60*H64)</f>
        <v>42.166107122625</v>
      </c>
    </row>
    <row r="64" spans="1:10" ht="25.5">
      <c r="A64" s="195" t="str">
        <f>'Planilha - IBOTIRAMA'!A83</f>
        <v>5.5</v>
      </c>
      <c r="B64" s="196" t="str">
        <f>'Planilha - IBOTIRAMA'!D83</f>
        <v>Disjuntor tripolar tipo din, corrente nominal de 25a - fornecimento e instalação. af_10/2020</v>
      </c>
      <c r="C64" s="195" t="str">
        <f>'Planilha - IBOTIRAMA'!E83</f>
        <v>UND</v>
      </c>
      <c r="D64" s="197" t="s">
        <v>228</v>
      </c>
      <c r="E64" s="198">
        <v>1</v>
      </c>
      <c r="F64" s="191" t="s">
        <v>233</v>
      </c>
      <c r="H64" s="191">
        <f>(3.14*((3*0.0254)/4)^2)/4</f>
        <v>2.8487846249999996E-4</v>
      </c>
      <c r="I64" s="191" t="s">
        <v>40</v>
      </c>
    </row>
    <row r="65" spans="1:9" ht="25.5">
      <c r="A65" s="195" t="str">
        <f>'Planilha - IBOTIRAMA'!A84</f>
        <v>5.6</v>
      </c>
      <c r="B65" s="196" t="str">
        <f>'Planilha - IBOTIRAMA'!D84</f>
        <v>disjuntor tripolar tipo din, corrente nominal de 10a - fornecimento e instalação</v>
      </c>
      <c r="C65" s="195" t="str">
        <f>'Planilha - IBOTIRAMA'!E84</f>
        <v>UND</v>
      </c>
      <c r="D65" s="197" t="s">
        <v>228</v>
      </c>
      <c r="E65" s="198">
        <v>1</v>
      </c>
      <c r="F65" s="191" t="s">
        <v>233</v>
      </c>
      <c r="H65" s="191">
        <f>(3.14*((3*0.0254)/4)^2)/4</f>
        <v>2.8487846249999996E-4</v>
      </c>
      <c r="I65" s="191" t="s">
        <v>40</v>
      </c>
    </row>
    <row r="66" spans="1:9">
      <c r="A66" s="195" t="str">
        <f>'Planilha - IBOTIRAMA'!A85</f>
        <v>5.7</v>
      </c>
      <c r="B66" s="196" t="str">
        <f>'Planilha - IBOTIRAMA'!D85</f>
        <v>eletroduto pvc rígido roscável diâmetro 1 1/4"</v>
      </c>
      <c r="C66" s="195" t="str">
        <f>'Planilha - IBOTIRAMA'!E85</f>
        <v>m</v>
      </c>
      <c r="D66" s="197" t="s">
        <v>228</v>
      </c>
      <c r="E66" s="198">
        <v>5</v>
      </c>
      <c r="F66" s="191" t="s">
        <v>234</v>
      </c>
      <c r="H66" s="154">
        <f>(H60+H59)*H61*H62</f>
        <v>42.3</v>
      </c>
    </row>
    <row r="67" spans="1:9">
      <c r="A67" s="195" t="str">
        <f>'Planilha - IBOTIRAMA'!A86</f>
        <v>5.8</v>
      </c>
      <c r="B67" s="196" t="str">
        <f>'Planilha - IBOTIRAMA'!D86</f>
        <v>eletroduto pvc rígido roscável diâmetro 3/4"</v>
      </c>
      <c r="C67" s="195" t="str">
        <f>'Planilha - IBOTIRAMA'!E86</f>
        <v>m</v>
      </c>
      <c r="D67" s="197" t="s">
        <v>228</v>
      </c>
      <c r="E67" s="198">
        <f>16.43+9</f>
        <v>25.43</v>
      </c>
    </row>
    <row r="68" spans="1:9" ht="25.5">
      <c r="A68" s="195" t="str">
        <f>'Planilha - IBOTIRAMA'!A87</f>
        <v>5.9</v>
      </c>
      <c r="B68" s="196" t="str">
        <f>'Planilha - IBOTIRAMA'!D87</f>
        <v>Caixa de passagem em alvenaria de tijolos maciços esp. = 0,12 m, dim. Int. = 0,4 x 0,4 x 0,4 m</v>
      </c>
      <c r="C68" s="195" t="str">
        <f>'Planilha - IBOTIRAMA'!E87</f>
        <v xml:space="preserve"> UND </v>
      </c>
      <c r="D68" s="197" t="s">
        <v>228</v>
      </c>
      <c r="E68" s="198">
        <v>1</v>
      </c>
    </row>
    <row r="69" spans="1:9" ht="25.5">
      <c r="A69" s="195" t="str">
        <f>'Planilha - IBOTIRAMA'!A88</f>
        <v>5.10</v>
      </c>
      <c r="B69" s="196" t="str">
        <f>'Planilha - IBOTIRAMA'!D88</f>
        <v>Tampa de concreto para caixas de passagem 0,4 x 0,4 x 0,07 m</v>
      </c>
      <c r="C69" s="195" t="str">
        <f>'Planilha - IBOTIRAMA'!E88</f>
        <v xml:space="preserve"> UND </v>
      </c>
      <c r="D69" s="197" t="s">
        <v>228</v>
      </c>
      <c r="E69" s="198">
        <v>1</v>
      </c>
    </row>
    <row r="70" spans="1:9" ht="25.5">
      <c r="A70" s="195" t="str">
        <f>'Planilha - IBOTIRAMA'!A89</f>
        <v>5.11</v>
      </c>
      <c r="B70" s="196" t="str">
        <f>'Planilha - IBOTIRAMA'!D89</f>
        <v>Luminarias decorativas, poste com 9,0 m, com quatro luminárias de led 100 W, fornecimento e instalação</v>
      </c>
      <c r="C70" s="195" t="str">
        <f>'Planilha - IBOTIRAMA'!E89</f>
        <v>UND</v>
      </c>
      <c r="D70" s="197" t="s">
        <v>228</v>
      </c>
      <c r="E70" s="198">
        <v>1</v>
      </c>
    </row>
    <row r="71" spans="1:9" ht="38.25">
      <c r="A71" s="195" t="str">
        <f>'Planilha - IBOTIRAMA'!A90</f>
        <v>5.12</v>
      </c>
      <c r="B71" s="196" t="str">
        <f>'Planilha - IBOTIRAMA'!D90</f>
        <v>cabo de cobre flexível isolado, 2,5 mm², anti-chama 450/750 v, para circuitos terminais - fornecimento e instalação. af_12/2015</v>
      </c>
      <c r="C71" s="195" t="str">
        <f>'Planilha - IBOTIRAMA'!E90</f>
        <v>M</v>
      </c>
      <c r="D71" s="197" t="s">
        <v>290</v>
      </c>
      <c r="E71" s="198">
        <f>E67*2+2.5*4*2+9*1*2</f>
        <v>88.86</v>
      </c>
    </row>
    <row r="72" spans="1:9" ht="38.25">
      <c r="A72" s="195" t="str">
        <f>'Planilha - IBOTIRAMA'!A91</f>
        <v>5.13</v>
      </c>
      <c r="B72" s="196" t="str">
        <f>'Planilha - IBOTIRAMA'!D91</f>
        <v>cabo de cobre flexível isolado, 10 mm², anti-chama 450/750 v, para circuitos terminais - fornecimento e instalação. af_12/2015</v>
      </c>
      <c r="C72" s="195" t="str">
        <f>'Planilha - IBOTIRAMA'!E91</f>
        <v>M</v>
      </c>
      <c r="D72" s="197" t="s">
        <v>235</v>
      </c>
      <c r="E72" s="198">
        <f>E66*4</f>
        <v>20</v>
      </c>
    </row>
    <row r="73" spans="1:9">
      <c r="A73" s="195" t="str">
        <f>'Planilha - IBOTIRAMA'!A92</f>
        <v>5.14</v>
      </c>
      <c r="B73" s="196" t="str">
        <f>'Planilha - IBOTIRAMA'!D92</f>
        <v>Haste de terra em cobre tipo copperweld ø 5/8"x3,00m</v>
      </c>
      <c r="C73" s="195" t="str">
        <f>'Planilha - IBOTIRAMA'!E92</f>
        <v>PÇ</v>
      </c>
      <c r="D73" s="197" t="s">
        <v>228</v>
      </c>
      <c r="E73" s="198">
        <f>E68</f>
        <v>1</v>
      </c>
    </row>
    <row r="74" spans="1:9">
      <c r="A74" s="195" t="str">
        <f>'Planilha - IBOTIRAMA'!A93</f>
        <v>5.15</v>
      </c>
      <c r="B74" s="196" t="str">
        <f>'Planilha - IBOTIRAMA'!D93</f>
        <v>Grampo de aterramento split-bolt, para cabo de # 10,0mm²</v>
      </c>
      <c r="C74" s="195" t="str">
        <f>'Planilha - IBOTIRAMA'!E93</f>
        <v>PÇ</v>
      </c>
      <c r="D74" s="197" t="s">
        <v>228</v>
      </c>
      <c r="E74" s="198">
        <f>E73</f>
        <v>1</v>
      </c>
    </row>
    <row r="75" spans="1:9">
      <c r="A75" s="195" t="str">
        <f>'Planilha - IBOTIRAMA'!A94</f>
        <v>5.16</v>
      </c>
      <c r="B75" s="196" t="str">
        <f>'Planilha - IBOTIRAMA'!D94</f>
        <v>quadro de medição de energia c padrão "coelba"</v>
      </c>
      <c r="C75" s="195" t="str">
        <f>'Planilha - IBOTIRAMA'!E94</f>
        <v>PÇ</v>
      </c>
      <c r="D75" s="197" t="s">
        <v>228</v>
      </c>
      <c r="E75" s="198">
        <v>1</v>
      </c>
    </row>
    <row r="76" spans="1:9">
      <c r="A76" s="347"/>
      <c r="B76" s="347"/>
      <c r="C76" s="347"/>
      <c r="D76" s="347"/>
      <c r="E76" s="347"/>
    </row>
    <row r="77" spans="1:9">
      <c r="A77" s="193">
        <f>'Planilha - IBOTIRAMA'!A96</f>
        <v>6</v>
      </c>
      <c r="B77" s="194" t="str">
        <f>'Planilha - IBOTIRAMA'!D96</f>
        <v>JARDINAGEM</v>
      </c>
      <c r="C77" s="346"/>
      <c r="D77" s="346"/>
      <c r="E77" s="346"/>
    </row>
    <row r="78" spans="1:9">
      <c r="A78" s="195" t="str">
        <f>'Planilha - IBOTIRAMA'!A97</f>
        <v>6.1</v>
      </c>
      <c r="B78" s="196" t="str">
        <f>'Planilha - IBOTIRAMA'!D97</f>
        <v>Grama esmeralda em mudas, fornecimento e plantio</v>
      </c>
      <c r="C78" s="195" t="str">
        <f>'Planilha - IBOTIRAMA'!E97</f>
        <v>m²</v>
      </c>
      <c r="D78" s="197" t="s">
        <v>228</v>
      </c>
      <c r="E78" s="198">
        <v>412.34</v>
      </c>
    </row>
    <row r="79" spans="1:9">
      <c r="A79" s="347"/>
      <c r="B79" s="347"/>
      <c r="C79" s="347"/>
      <c r="D79" s="347"/>
      <c r="E79" s="347"/>
      <c r="H79" s="203">
        <v>166.8</v>
      </c>
    </row>
    <row r="80" spans="1:9">
      <c r="A80" s="193">
        <f>'Planilha - IBOTIRAMA'!A99</f>
        <v>7</v>
      </c>
      <c r="B80" s="194" t="str">
        <f>'Planilha - IBOTIRAMA'!D99</f>
        <v>DIVERSOS</v>
      </c>
      <c r="C80" s="346"/>
      <c r="D80" s="346"/>
      <c r="E80" s="346"/>
      <c r="H80" s="203">
        <v>194.99</v>
      </c>
    </row>
    <row r="81" spans="1:8" ht="25.5">
      <c r="A81" s="195" t="str">
        <f>'Planilha - IBOTIRAMA'!A100</f>
        <v>7.1</v>
      </c>
      <c r="B81" s="196" t="str">
        <f>'Planilha - IBOTIRAMA'!D100</f>
        <v>Banco com pés em concreto pré-moldado e assento e encosto de madeira</v>
      </c>
      <c r="C81" s="195" t="str">
        <f>'Planilha - IBOTIRAMA'!E100</f>
        <v>un</v>
      </c>
      <c r="D81" s="197" t="s">
        <v>228</v>
      </c>
      <c r="E81" s="198">
        <v>6</v>
      </c>
      <c r="H81" s="203">
        <f>28.69+22.86</f>
        <v>51.55</v>
      </c>
    </row>
    <row r="82" spans="1:8" ht="25.5">
      <c r="A82" s="195" t="str">
        <f>'Planilha - IBOTIRAMA'!A101</f>
        <v>7.2</v>
      </c>
      <c r="B82" s="196" t="str">
        <f>'Planilha - IBOTIRAMA'!D101</f>
        <v>Conjunto com 3 lixeiras em fibra de vidro, com capacidade de 20 l cada, com tampa vai e vem</v>
      </c>
      <c r="C82" s="195" t="str">
        <f>'Planilha - IBOTIRAMA'!E101</f>
        <v>un</v>
      </c>
      <c r="D82" s="197" t="s">
        <v>228</v>
      </c>
      <c r="E82" s="198">
        <v>4</v>
      </c>
    </row>
    <row r="83" spans="1:8">
      <c r="A83" s="195" t="str">
        <f>'Planilha - IBOTIRAMA'!A102</f>
        <v>7.3</v>
      </c>
      <c r="B83" s="196" t="str">
        <f>'Planilha - IBOTIRAMA'!D102</f>
        <v>Limpeza de ruas (varrição e remoção de entulhos)</v>
      </c>
      <c r="C83" s="195" t="str">
        <f>'Planilha - IBOTIRAMA'!E102</f>
        <v>m²</v>
      </c>
      <c r="D83" s="197" t="s">
        <v>240</v>
      </c>
      <c r="E83" s="198">
        <f>H5</f>
        <v>1374.34</v>
      </c>
    </row>
    <row r="84" spans="1:8">
      <c r="A84" s="339" t="s">
        <v>236</v>
      </c>
      <c r="B84" s="339"/>
      <c r="C84" s="339"/>
      <c r="D84" s="339"/>
      <c r="E84" s="339"/>
    </row>
  </sheetData>
  <mergeCells count="17">
    <mergeCell ref="B1:E1"/>
    <mergeCell ref="B2:E2"/>
    <mergeCell ref="B3:E3"/>
    <mergeCell ref="A7:E7"/>
    <mergeCell ref="C8:E8"/>
    <mergeCell ref="A84:E84"/>
    <mergeCell ref="A4:E6"/>
    <mergeCell ref="C59:E59"/>
    <mergeCell ref="A76:E76"/>
    <mergeCell ref="C77:E77"/>
    <mergeCell ref="A79:E79"/>
    <mergeCell ref="C80:E80"/>
    <mergeCell ref="A16:E16"/>
    <mergeCell ref="C17:E17"/>
    <mergeCell ref="A31:E31"/>
    <mergeCell ref="C32:E32"/>
    <mergeCell ref="A58:E58"/>
  </mergeCells>
  <printOptions horizontalCentered="1"/>
  <pageMargins left="0.511811023622047" right="0.511811023622047" top="0.98425196850393704" bottom="0.78740157480314998" header="0.31496062992126" footer="0.31496062992126"/>
  <pageSetup paperSize="9" scale="65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showGridLines="0" view="pageBreakPreview" zoomScale="106" zoomScaleNormal="100" zoomScaleSheetLayoutView="106" workbookViewId="0">
      <selection activeCell="A6" sqref="A6"/>
    </sheetView>
  </sheetViews>
  <sheetFormatPr defaultColWidth="9.140625" defaultRowHeight="12.75"/>
  <cols>
    <col min="1" max="1" width="9.140625" style="155"/>
    <col min="2" max="2" width="27.5703125" style="155" customWidth="1"/>
    <col min="3" max="6" width="9.140625" style="155"/>
    <col min="7" max="7" width="14.42578125" style="155" customWidth="1"/>
    <col min="8" max="10" width="9.140625" style="155"/>
    <col min="11" max="11" width="8.28515625" style="155" customWidth="1"/>
    <col min="12" max="16384" width="9.140625" style="155"/>
  </cols>
  <sheetData>
    <row r="1" spans="1:14" s="154" customFormat="1" ht="12.75" customHeight="1">
      <c r="A1" s="361" t="s">
        <v>223</v>
      </c>
      <c r="B1" s="362"/>
      <c r="C1" s="362"/>
      <c r="D1" s="362"/>
      <c r="E1" s="362"/>
      <c r="F1" s="362"/>
      <c r="G1" s="362"/>
      <c r="H1" s="362"/>
      <c r="I1" s="362"/>
      <c r="J1" s="362"/>
      <c r="K1" s="362"/>
      <c r="L1" s="362"/>
      <c r="M1" s="362"/>
      <c r="N1" s="363"/>
    </row>
    <row r="2" spans="1:14" s="154" customFormat="1" ht="12.75" customHeight="1">
      <c r="A2" s="361" t="s">
        <v>291</v>
      </c>
      <c r="B2" s="362"/>
      <c r="C2" s="362"/>
      <c r="D2" s="362"/>
      <c r="E2" s="362"/>
      <c r="F2" s="362"/>
      <c r="G2" s="362"/>
      <c r="H2" s="362"/>
      <c r="I2" s="362"/>
      <c r="J2" s="362"/>
      <c r="K2" s="362"/>
      <c r="L2" s="362"/>
      <c r="M2" s="362"/>
      <c r="N2" s="363"/>
    </row>
    <row r="3" spans="1:14" s="154" customFormat="1" ht="12.75" customHeight="1">
      <c r="A3" s="361" t="s">
        <v>224</v>
      </c>
      <c r="B3" s="362"/>
      <c r="C3" s="362"/>
      <c r="D3" s="362"/>
      <c r="E3" s="362"/>
      <c r="F3" s="362"/>
      <c r="G3" s="362"/>
      <c r="H3" s="362"/>
      <c r="I3" s="362"/>
      <c r="J3" s="362"/>
      <c r="K3" s="362"/>
      <c r="L3" s="362"/>
      <c r="M3" s="362"/>
      <c r="N3" s="363"/>
    </row>
    <row r="4" spans="1:14">
      <c r="A4" s="156"/>
      <c r="B4" s="157"/>
      <c r="C4" s="157"/>
      <c r="D4" s="158"/>
      <c r="E4" s="158"/>
      <c r="F4" s="159"/>
      <c r="G4" s="160"/>
      <c r="H4" s="160"/>
      <c r="I4" s="160"/>
      <c r="J4" s="160"/>
      <c r="K4" s="160"/>
      <c r="L4" s="160"/>
      <c r="M4" s="160"/>
      <c r="N4" s="185"/>
    </row>
    <row r="5" spans="1:14" ht="55.5" customHeight="1">
      <c r="A5" s="364" t="str">
        <f>'Planilha - IBOTIRAMA'!A5:I5</f>
        <v>CONSTRUÇÃO DE 04 (QUATRO) PRAÇAS, SENDO: 01 (UMA) NO MUNICÍPIO DE BAIANÓPOLIS, 01 (UMA) NO MUNICÍPIO DE IBOTIRAMA, 01 (UMA) NO MUNICÍPIO DE ILHÉUS E 01 (UMA) NO MUNICÍPIO DE LIVRAMENTO DE NOSSA SENHORA, E REQUALIFICAÇÃO DE 01 (UMA) PRAÇA NO MUNICÍPIO DE PORTO SEGURO, TODAS NO ESTADO DA BAHIA, ÁREA DE ABRANGÊNCIA DA 2ª SUPERINTENDÊNCIA REGIONAL DA CODEVASF</v>
      </c>
      <c r="B5" s="365"/>
      <c r="C5" s="365"/>
      <c r="D5" s="365"/>
      <c r="E5" s="365"/>
      <c r="F5" s="365"/>
      <c r="G5" s="365"/>
      <c r="H5" s="365"/>
      <c r="I5" s="365"/>
      <c r="J5" s="365"/>
      <c r="K5" s="365"/>
      <c r="L5" s="365"/>
      <c r="M5" s="365"/>
      <c r="N5" s="366"/>
    </row>
    <row r="6" spans="1:14">
      <c r="A6" s="161"/>
      <c r="B6" s="162"/>
      <c r="C6" s="162"/>
      <c r="D6" s="163"/>
      <c r="E6" s="164"/>
      <c r="F6" s="165"/>
      <c r="G6" s="165"/>
      <c r="H6" s="165"/>
      <c r="I6" s="165"/>
      <c r="J6" s="160"/>
      <c r="K6" s="160"/>
      <c r="L6" s="160"/>
      <c r="M6" s="160"/>
      <c r="N6" s="185"/>
    </row>
    <row r="7" spans="1:14" ht="26.25" customHeight="1">
      <c r="A7" s="358" t="s">
        <v>292</v>
      </c>
      <c r="B7" s="359"/>
      <c r="C7" s="359"/>
      <c r="D7" s="359"/>
      <c r="E7" s="359"/>
      <c r="F7" s="359"/>
      <c r="G7" s="359"/>
      <c r="H7" s="359"/>
      <c r="I7" s="359"/>
      <c r="J7" s="359"/>
      <c r="K7" s="359"/>
      <c r="L7" s="359"/>
      <c r="M7" s="359"/>
      <c r="N7" s="360"/>
    </row>
    <row r="8" spans="1:14" ht="12.75" customHeight="1">
      <c r="A8" s="358"/>
      <c r="B8" s="359"/>
      <c r="C8" s="359"/>
      <c r="D8" s="359"/>
      <c r="E8" s="359"/>
      <c r="F8" s="359"/>
      <c r="G8" s="359"/>
      <c r="H8" s="359"/>
      <c r="I8" s="359"/>
      <c r="J8" s="359"/>
      <c r="K8" s="359"/>
      <c r="L8" s="359"/>
      <c r="M8" s="359"/>
      <c r="N8" s="360"/>
    </row>
    <row r="9" spans="1:14">
      <c r="A9" s="166"/>
      <c r="B9" s="167"/>
      <c r="C9" s="367" t="s">
        <v>516</v>
      </c>
      <c r="D9" s="367"/>
      <c r="E9" s="367"/>
      <c r="F9" s="367"/>
      <c r="G9" s="367"/>
      <c r="H9" s="367"/>
      <c r="I9" s="367"/>
      <c r="J9" s="367"/>
      <c r="K9" s="160"/>
      <c r="L9" s="160"/>
      <c r="M9" s="160"/>
      <c r="N9" s="185"/>
    </row>
    <row r="10" spans="1:14" ht="20.25">
      <c r="A10" s="353"/>
      <c r="B10" s="354"/>
      <c r="C10" s="354"/>
      <c r="D10" s="354"/>
      <c r="E10" s="354"/>
      <c r="F10" s="354"/>
      <c r="G10" s="354"/>
      <c r="H10" s="354"/>
      <c r="I10" s="354"/>
      <c r="J10" s="354"/>
      <c r="K10" s="354"/>
      <c r="L10" s="354"/>
      <c r="M10" s="354"/>
      <c r="N10" s="355"/>
    </row>
    <row r="11" spans="1:14" ht="23.25">
      <c r="A11" s="168"/>
      <c r="B11" s="169"/>
      <c r="C11" s="169"/>
      <c r="D11" s="169"/>
      <c r="E11" s="169"/>
      <c r="F11" s="169"/>
      <c r="G11" s="160"/>
      <c r="H11" s="160"/>
      <c r="I11" s="160"/>
      <c r="J11" s="160"/>
      <c r="K11" s="160"/>
      <c r="L11" s="160"/>
      <c r="M11" s="160"/>
      <c r="N11" s="185"/>
    </row>
    <row r="12" spans="1:14">
      <c r="A12" s="170" t="s">
        <v>293</v>
      </c>
      <c r="B12" s="171"/>
      <c r="C12" s="172" t="s">
        <v>306</v>
      </c>
      <c r="D12" s="171"/>
      <c r="E12" s="173"/>
      <c r="F12" s="173"/>
      <c r="G12" s="160"/>
      <c r="H12" s="160"/>
      <c r="I12" s="160"/>
      <c r="J12" s="160"/>
      <c r="K12" s="160"/>
      <c r="L12" s="160"/>
      <c r="M12" s="160"/>
      <c r="N12" s="185"/>
    </row>
    <row r="13" spans="1:14">
      <c r="A13" s="170" t="s">
        <v>294</v>
      </c>
      <c r="B13" s="171"/>
      <c r="C13" s="172" t="s">
        <v>307</v>
      </c>
      <c r="D13" s="171"/>
      <c r="E13" s="173"/>
      <c r="F13" s="173"/>
      <c r="G13" s="160"/>
      <c r="H13" s="160"/>
      <c r="I13" s="160"/>
      <c r="J13" s="160"/>
      <c r="K13" s="160"/>
      <c r="L13" s="160"/>
      <c r="M13" s="160"/>
      <c r="N13" s="185"/>
    </row>
    <row r="14" spans="1:14">
      <c r="A14" s="174" t="s">
        <v>295</v>
      </c>
      <c r="B14" s="175"/>
      <c r="C14" s="176">
        <v>138</v>
      </c>
      <c r="D14" s="175" t="s">
        <v>296</v>
      </c>
      <c r="E14" s="160"/>
      <c r="F14" s="160"/>
      <c r="G14" s="160"/>
      <c r="H14" s="160"/>
      <c r="I14" s="160"/>
      <c r="J14" s="160"/>
      <c r="K14" s="160"/>
      <c r="L14" s="160"/>
      <c r="M14" s="160"/>
      <c r="N14" s="185"/>
    </row>
    <row r="15" spans="1:14">
      <c r="A15" s="174"/>
      <c r="B15" s="175"/>
      <c r="C15" s="177"/>
      <c r="D15" s="175"/>
      <c r="E15" s="160"/>
      <c r="F15" s="160"/>
      <c r="G15" s="160"/>
      <c r="H15" s="160"/>
      <c r="I15" s="160"/>
      <c r="J15" s="160"/>
      <c r="K15" s="160"/>
      <c r="L15" s="160"/>
      <c r="M15" s="160"/>
      <c r="N15" s="185"/>
    </row>
    <row r="16" spans="1:14">
      <c r="A16" s="174" t="s">
        <v>297</v>
      </c>
      <c r="B16" s="175"/>
      <c r="C16" s="178">
        <f>SUM(C14:C15)</f>
        <v>138</v>
      </c>
      <c r="D16" s="175" t="s">
        <v>296</v>
      </c>
      <c r="E16" s="160"/>
      <c r="F16" s="160"/>
      <c r="G16" s="160"/>
      <c r="H16" s="160"/>
      <c r="I16" s="160"/>
      <c r="J16" s="160"/>
      <c r="K16" s="160"/>
      <c r="L16" s="160"/>
      <c r="M16" s="160"/>
      <c r="N16" s="185"/>
    </row>
    <row r="17" spans="1:14">
      <c r="A17" s="174"/>
      <c r="B17" s="175"/>
      <c r="C17" s="175"/>
      <c r="D17" s="175"/>
      <c r="E17" s="160"/>
      <c r="F17" s="160"/>
      <c r="G17" s="160"/>
      <c r="H17" s="160"/>
      <c r="I17" s="160"/>
      <c r="J17" s="160"/>
      <c r="K17" s="160"/>
      <c r="L17" s="160"/>
      <c r="M17" s="160"/>
      <c r="N17" s="185"/>
    </row>
    <row r="18" spans="1:14">
      <c r="A18" s="174" t="s">
        <v>298</v>
      </c>
      <c r="B18" s="175"/>
      <c r="C18" s="175" t="s">
        <v>302</v>
      </c>
      <c r="D18" s="175"/>
      <c r="F18" s="175"/>
      <c r="G18" s="175"/>
      <c r="H18" s="176">
        <v>7.2</v>
      </c>
      <c r="I18" s="175" t="s">
        <v>300</v>
      </c>
      <c r="J18" s="160"/>
      <c r="K18" s="160"/>
      <c r="L18" s="160"/>
      <c r="M18" s="160"/>
      <c r="N18" s="185"/>
    </row>
    <row r="19" spans="1:14">
      <c r="A19" s="174" t="s">
        <v>298</v>
      </c>
      <c r="B19" s="175"/>
      <c r="C19" s="175" t="s">
        <v>299</v>
      </c>
      <c r="D19" s="175"/>
      <c r="F19" s="175"/>
      <c r="G19" s="175"/>
      <c r="H19" s="176">
        <v>2.4</v>
      </c>
      <c r="I19" s="175" t="s">
        <v>300</v>
      </c>
      <c r="J19" s="160"/>
      <c r="K19" s="160"/>
      <c r="L19" s="160"/>
      <c r="M19" s="160"/>
      <c r="N19" s="185"/>
    </row>
    <row r="20" spans="1:14">
      <c r="A20" s="174" t="s">
        <v>298</v>
      </c>
      <c r="B20" s="175"/>
      <c r="C20" s="175" t="s">
        <v>301</v>
      </c>
      <c r="D20" s="175"/>
      <c r="F20" s="175"/>
      <c r="G20" s="175"/>
      <c r="H20" s="176">
        <v>11.5</v>
      </c>
      <c r="I20" s="175" t="s">
        <v>300</v>
      </c>
      <c r="J20" s="160"/>
      <c r="K20" s="160"/>
      <c r="L20" s="160"/>
      <c r="M20" s="160"/>
      <c r="N20" s="185"/>
    </row>
    <row r="21" spans="1:14">
      <c r="A21" s="174" t="s">
        <v>298</v>
      </c>
      <c r="B21" s="175"/>
      <c r="C21" s="175" t="s">
        <v>303</v>
      </c>
      <c r="D21" s="175"/>
      <c r="F21" s="175"/>
      <c r="G21" s="175"/>
      <c r="H21" s="176">
        <v>10.4</v>
      </c>
      <c r="I21" s="175" t="s">
        <v>300</v>
      </c>
      <c r="J21" s="160"/>
      <c r="K21" s="160"/>
      <c r="L21" s="160"/>
      <c r="M21" s="160"/>
      <c r="N21" s="185"/>
    </row>
    <row r="22" spans="1:14">
      <c r="A22" s="179"/>
      <c r="B22" s="160"/>
      <c r="C22" s="160"/>
      <c r="D22" s="160"/>
      <c r="E22" s="175"/>
      <c r="F22" s="175"/>
      <c r="G22" s="175"/>
      <c r="H22" s="180"/>
      <c r="I22" s="175"/>
      <c r="J22" s="160"/>
      <c r="K22" s="160"/>
      <c r="L22" s="160"/>
      <c r="M22" s="160"/>
      <c r="N22" s="185"/>
    </row>
    <row r="23" spans="1:14">
      <c r="A23" s="179"/>
      <c r="B23" s="160"/>
      <c r="C23" s="160"/>
      <c r="D23" s="160"/>
      <c r="E23" s="181" t="s">
        <v>304</v>
      </c>
      <c r="F23" s="175"/>
      <c r="G23" s="175"/>
      <c r="H23" s="178">
        <f>SUM(H18:H21)</f>
        <v>31.5</v>
      </c>
      <c r="I23" s="175" t="s">
        <v>300</v>
      </c>
      <c r="J23" s="160"/>
      <c r="K23" s="160"/>
      <c r="L23" s="160"/>
      <c r="M23" s="160"/>
      <c r="N23" s="186"/>
    </row>
    <row r="24" spans="1:14">
      <c r="A24" s="179"/>
      <c r="B24" s="160"/>
      <c r="C24" s="160"/>
      <c r="D24" s="160"/>
      <c r="E24" s="160"/>
      <c r="F24" s="160"/>
      <c r="G24" s="160"/>
      <c r="H24" s="160"/>
      <c r="I24" s="160"/>
      <c r="J24" s="160"/>
      <c r="K24" s="160"/>
      <c r="L24" s="160"/>
      <c r="M24" s="160"/>
      <c r="N24" s="185"/>
    </row>
    <row r="25" spans="1:14">
      <c r="A25" s="179"/>
      <c r="B25" s="160"/>
      <c r="C25" s="160"/>
      <c r="D25" s="160"/>
      <c r="E25" s="160"/>
      <c r="F25" s="160"/>
      <c r="G25" s="160"/>
      <c r="H25" s="160"/>
      <c r="I25" s="160"/>
      <c r="J25" s="160"/>
      <c r="K25" s="160"/>
      <c r="L25" s="160"/>
      <c r="M25" s="160"/>
      <c r="N25" s="185"/>
    </row>
    <row r="26" spans="1:14" ht="15.75">
      <c r="A26" s="182" t="str">
        <f>"Momento de transporte  =  "&amp;TEXT(H23,"0,00")&amp;"  x  "&amp;TEXT(C16,"0,00")&amp;"            =&gt;"</f>
        <v>Momento de transporte  =  31,50  x  138,00            =&gt;</v>
      </c>
      <c r="B26" s="183"/>
      <c r="C26" s="183"/>
      <c r="D26" s="183"/>
      <c r="E26" s="183"/>
      <c r="F26" s="356">
        <f>ROUND(C16*H23,2)</f>
        <v>4347</v>
      </c>
      <c r="G26" s="357"/>
      <c r="H26" s="184" t="s">
        <v>305</v>
      </c>
      <c r="I26" s="183"/>
      <c r="J26" s="183"/>
      <c r="K26" s="183"/>
      <c r="L26" s="183"/>
      <c r="M26" s="183"/>
      <c r="N26" s="187"/>
    </row>
  </sheetData>
  <mergeCells count="8">
    <mergeCell ref="A10:N10"/>
    <mergeCell ref="F26:G26"/>
    <mergeCell ref="A7:N8"/>
    <mergeCell ref="A1:N1"/>
    <mergeCell ref="A2:N2"/>
    <mergeCell ref="A3:N3"/>
    <mergeCell ref="A5:N5"/>
    <mergeCell ref="C9:J9"/>
  </mergeCells>
  <printOptions horizontalCentered="1"/>
  <pageMargins left="0.511811023622047" right="0.511811023622047" top="0.78740157480314998" bottom="0.78740157480314998" header="0.31496062992126" footer="0.31496062992126"/>
  <pageSetup scale="8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J53"/>
  <sheetViews>
    <sheetView view="pageBreakPreview" zoomScaleNormal="100" zoomScaleSheetLayoutView="100" workbookViewId="0">
      <selection activeCell="D29" sqref="D29"/>
    </sheetView>
  </sheetViews>
  <sheetFormatPr defaultColWidth="9" defaultRowHeight="12.75"/>
  <cols>
    <col min="1" max="3" width="13.28515625" customWidth="1"/>
    <col min="4" max="4" width="52.7109375" customWidth="1"/>
    <col min="6" max="6" width="18.42578125" customWidth="1"/>
    <col min="7" max="7" width="19.7109375" customWidth="1"/>
    <col min="8" max="8" width="19.42578125" customWidth="1"/>
    <col min="10" max="10" width="12.85546875"/>
  </cols>
  <sheetData>
    <row r="1" spans="1:8">
      <c r="A1" s="1"/>
      <c r="B1" s="2"/>
      <c r="C1" s="2"/>
      <c r="D1" s="382" t="s">
        <v>517</v>
      </c>
      <c r="E1" s="383"/>
      <c r="F1" s="383"/>
      <c r="G1" s="383"/>
      <c r="H1" s="384"/>
    </row>
    <row r="2" spans="1:8">
      <c r="A2" s="3"/>
      <c r="B2" s="4"/>
      <c r="C2" s="4"/>
      <c r="D2" s="385" t="s">
        <v>309</v>
      </c>
      <c r="E2" s="386"/>
      <c r="F2" s="386"/>
      <c r="G2" s="386"/>
      <c r="H2" s="387"/>
    </row>
    <row r="3" spans="1:8">
      <c r="A3" s="3"/>
      <c r="B3" s="4"/>
      <c r="C3" s="4"/>
      <c r="D3" s="385" t="s">
        <v>310</v>
      </c>
      <c r="E3" s="386"/>
      <c r="F3" s="386"/>
      <c r="G3" s="386"/>
      <c r="H3" s="387"/>
    </row>
    <row r="4" spans="1:8">
      <c r="A4" s="3"/>
      <c r="B4" s="4"/>
      <c r="C4" s="4"/>
      <c r="D4" s="4"/>
      <c r="E4" s="4"/>
      <c r="F4" s="4"/>
      <c r="G4" s="4"/>
      <c r="H4" s="5"/>
    </row>
    <row r="5" spans="1:8" ht="15.75">
      <c r="A5" s="388" t="s">
        <v>521</v>
      </c>
      <c r="B5" s="389"/>
      <c r="C5" s="389"/>
      <c r="D5" s="389"/>
      <c r="E5" s="389"/>
      <c r="F5" s="389"/>
      <c r="G5" s="389"/>
      <c r="H5" s="390"/>
    </row>
    <row r="6" spans="1:8" ht="15.75">
      <c r="A6" s="6"/>
      <c r="B6" s="7"/>
      <c r="C6" s="7"/>
      <c r="D6" s="7"/>
      <c r="E6" s="7"/>
      <c r="F6" s="7"/>
      <c r="G6" s="7"/>
      <c r="H6" s="8"/>
    </row>
    <row r="7" spans="1:8" ht="42.95" customHeight="1">
      <c r="A7" s="391" t="str">
        <f>'Planilha - IBOTIRAMA'!A5:I5</f>
        <v>CONSTRUÇÃO DE 04 (QUATRO) PRAÇAS, SENDO: 01 (UMA) NO MUNICÍPIO DE BAIANÓPOLIS, 01 (UMA) NO MUNICÍPIO DE IBOTIRAMA, 01 (UMA) NO MUNICÍPIO DE ILHÉUS E 01 (UMA) NO MUNICÍPIO DE LIVRAMENTO DE NOSSA SENHORA, E REQUALIFICAÇÃO DE 01 (UMA) PRAÇA NO MUNICÍPIO DE PORTO SEGURO, TODAS NO ESTADO DA BAHIA, ÁREA DE ABRANGÊNCIA DA 2ª SUPERINTENDÊNCIA REGIONAL DA CODEVASF</v>
      </c>
      <c r="B7" s="392"/>
      <c r="C7" s="392"/>
      <c r="D7" s="392"/>
      <c r="E7" s="392"/>
      <c r="F7" s="392"/>
      <c r="G7" s="392"/>
      <c r="H7" s="393"/>
    </row>
    <row r="8" spans="1:8" ht="15.75">
      <c r="A8" s="6"/>
      <c r="B8" s="7"/>
      <c r="C8" s="7"/>
      <c r="D8" s="7"/>
      <c r="E8" s="7"/>
      <c r="F8" s="7"/>
      <c r="G8" s="7"/>
      <c r="H8" s="8"/>
    </row>
    <row r="9" spans="1:8" ht="21.95" customHeight="1">
      <c r="A9" s="3"/>
      <c r="B9" s="4"/>
      <c r="C9" s="7"/>
      <c r="D9" s="7"/>
      <c r="E9" s="4"/>
      <c r="F9" s="375" t="s">
        <v>311</v>
      </c>
      <c r="G9" s="376"/>
      <c r="H9" s="9">
        <f>BDI!D36</f>
        <v>0.21378112315270936</v>
      </c>
    </row>
    <row r="10" spans="1:8" ht="21.95" customHeight="1">
      <c r="A10" s="3"/>
      <c r="B10" s="4"/>
      <c r="C10" s="7"/>
      <c r="D10" s="7"/>
      <c r="E10" s="4"/>
      <c r="F10" s="377" t="s">
        <v>312</v>
      </c>
      <c r="G10" s="378"/>
      <c r="H10" s="10">
        <f>'ENC SOCIAIS'!F52</f>
        <v>1.1446999999999998</v>
      </c>
    </row>
    <row r="11" spans="1:8" ht="21.95" customHeight="1">
      <c r="A11" s="11" t="s">
        <v>8</v>
      </c>
      <c r="B11" s="317" t="s">
        <v>513</v>
      </c>
      <c r="C11" s="317"/>
      <c r="D11" s="317"/>
      <c r="E11" s="4"/>
      <c r="F11" s="379" t="s">
        <v>450</v>
      </c>
      <c r="G11" s="380"/>
      <c r="H11" s="381"/>
    </row>
    <row r="12" spans="1:8" ht="15" customHeight="1">
      <c r="A12" s="3"/>
      <c r="B12" s="4"/>
      <c r="C12" s="4"/>
      <c r="D12" s="4"/>
      <c r="E12" s="4"/>
      <c r="F12" s="4"/>
      <c r="G12" s="4"/>
      <c r="H12" s="5"/>
    </row>
    <row r="13" spans="1:8" ht="21.95" customHeight="1">
      <c r="A13" s="134" t="s">
        <v>323</v>
      </c>
      <c r="B13" s="134" t="s">
        <v>313</v>
      </c>
      <c r="C13" s="134" t="s">
        <v>12</v>
      </c>
      <c r="D13" s="135" t="s">
        <v>324</v>
      </c>
      <c r="E13" s="134" t="s">
        <v>14</v>
      </c>
      <c r="F13" s="136" t="s">
        <v>15</v>
      </c>
      <c r="G13" s="136" t="s">
        <v>314</v>
      </c>
      <c r="H13" s="136" t="s">
        <v>315</v>
      </c>
    </row>
    <row r="14" spans="1:8" ht="21.95" customHeight="1">
      <c r="A14" s="137" t="s">
        <v>316</v>
      </c>
      <c r="B14" s="137" t="s">
        <v>26</v>
      </c>
      <c r="C14" s="137">
        <v>90776</v>
      </c>
      <c r="D14" s="138" t="s">
        <v>317</v>
      </c>
      <c r="E14" s="137" t="s">
        <v>319</v>
      </c>
      <c r="F14" s="139">
        <v>150</v>
      </c>
      <c r="G14" s="147">
        <v>31.19</v>
      </c>
      <c r="H14" s="140">
        <f>ROUND(F14*G14,2)</f>
        <v>4678.5</v>
      </c>
    </row>
    <row r="15" spans="1:8" ht="24">
      <c r="A15" s="137" t="s">
        <v>316</v>
      </c>
      <c r="B15" s="137" t="s">
        <v>26</v>
      </c>
      <c r="C15" s="137">
        <v>90777</v>
      </c>
      <c r="D15" s="138" t="s">
        <v>318</v>
      </c>
      <c r="E15" s="137" t="s">
        <v>319</v>
      </c>
      <c r="F15" s="139">
        <v>8</v>
      </c>
      <c r="G15" s="147">
        <v>93.77</v>
      </c>
      <c r="H15" s="140">
        <f>ROUND(F15*G15,2)</f>
        <v>750.16</v>
      </c>
    </row>
    <row r="16" spans="1:8" ht="21.95" customHeight="1">
      <c r="A16" s="3"/>
      <c r="B16" s="4"/>
      <c r="C16" s="4"/>
      <c r="D16" s="4"/>
      <c r="E16" s="368" t="s">
        <v>320</v>
      </c>
      <c r="F16" s="369"/>
      <c r="G16" s="370"/>
      <c r="H16" s="141">
        <f>ROUND(SUM(H14:H15),2)</f>
        <v>5428.66</v>
      </c>
    </row>
    <row r="17" spans="1:10" ht="21.95" customHeight="1">
      <c r="A17" s="3"/>
      <c r="B17" s="4"/>
      <c r="C17" s="4"/>
      <c r="D17" s="4"/>
      <c r="E17" s="371">
        <f>$H$9</f>
        <v>0.21378112315270936</v>
      </c>
      <c r="F17" s="369"/>
      <c r="G17" s="370"/>
      <c r="H17" s="142">
        <f>ROUND((E17*H16),2)</f>
        <v>1160.55</v>
      </c>
    </row>
    <row r="18" spans="1:10" ht="21.95" customHeight="1">
      <c r="A18" s="3"/>
      <c r="B18" s="4"/>
      <c r="C18" s="4"/>
      <c r="D18" s="4"/>
      <c r="E18" s="368" t="s">
        <v>320</v>
      </c>
      <c r="F18" s="369"/>
      <c r="G18" s="370"/>
      <c r="H18" s="141">
        <f>ROUND(H16+H17,2)</f>
        <v>6589.21</v>
      </c>
    </row>
    <row r="19" spans="1:10" ht="21.95" customHeight="1">
      <c r="A19" s="3"/>
      <c r="B19" s="4"/>
      <c r="C19" s="4"/>
      <c r="D19" s="4"/>
      <c r="E19" s="368" t="s">
        <v>321</v>
      </c>
      <c r="F19" s="369"/>
      <c r="G19" s="370"/>
      <c r="H19" s="143">
        <f>ROUND(H18*3,2)</f>
        <v>19767.63</v>
      </c>
    </row>
    <row r="20" spans="1:10" ht="21.95" customHeight="1">
      <c r="A20" s="3"/>
      <c r="B20" s="4"/>
      <c r="C20" s="4"/>
      <c r="D20" s="4"/>
      <c r="E20" s="368" t="s">
        <v>322</v>
      </c>
      <c r="F20" s="369"/>
      <c r="G20" s="370"/>
      <c r="H20" s="144">
        <f>H19</f>
        <v>19767.63</v>
      </c>
      <c r="J20" s="148">
        <f>H20/'Planilha - IBOTIRAMA'!J105</f>
        <v>6.5894871977614511E-2</v>
      </c>
    </row>
    <row r="21" spans="1:10" ht="43.5" customHeight="1">
      <c r="A21" s="134" t="s">
        <v>142</v>
      </c>
      <c r="B21" s="134" t="s">
        <v>313</v>
      </c>
      <c r="C21" s="134" t="s">
        <v>12</v>
      </c>
      <c r="D21" s="135" t="s">
        <v>332</v>
      </c>
      <c r="E21" s="134" t="s">
        <v>14</v>
      </c>
      <c r="F21" s="136" t="s">
        <v>15</v>
      </c>
      <c r="G21" s="136" t="s">
        <v>314</v>
      </c>
      <c r="H21" s="136" t="s">
        <v>315</v>
      </c>
    </row>
    <row r="22" spans="1:10" ht="24">
      <c r="A22" s="137" t="s">
        <v>316</v>
      </c>
      <c r="B22" s="137" t="s">
        <v>60</v>
      </c>
      <c r="C22" s="145" t="s">
        <v>325</v>
      </c>
      <c r="D22" s="138" t="s">
        <v>326</v>
      </c>
      <c r="E22" s="137" t="s">
        <v>327</v>
      </c>
      <c r="F22" s="146">
        <v>1.5</v>
      </c>
      <c r="G22" s="147">
        <v>213.5</v>
      </c>
      <c r="H22" s="140">
        <f>ROUND(F22*G22,2)</f>
        <v>320.25</v>
      </c>
    </row>
    <row r="23" spans="1:10" ht="24">
      <c r="A23" s="137" t="s">
        <v>316</v>
      </c>
      <c r="B23" s="137" t="s">
        <v>60</v>
      </c>
      <c r="C23" s="145" t="s">
        <v>328</v>
      </c>
      <c r="D23" s="138" t="s">
        <v>329</v>
      </c>
      <c r="E23" s="137" t="s">
        <v>327</v>
      </c>
      <c r="F23" s="146">
        <v>1.5</v>
      </c>
      <c r="G23" s="147">
        <v>251.03</v>
      </c>
      <c r="H23" s="140">
        <f>ROUND(F23*G23,2)</f>
        <v>376.55</v>
      </c>
    </row>
    <row r="24" spans="1:10" ht="36">
      <c r="A24" s="137" t="s">
        <v>316</v>
      </c>
      <c r="B24" s="137" t="s">
        <v>60</v>
      </c>
      <c r="C24" s="145">
        <v>5914640</v>
      </c>
      <c r="D24" s="138" t="s">
        <v>330</v>
      </c>
      <c r="E24" s="137" t="s">
        <v>331</v>
      </c>
      <c r="F24" s="146">
        <f>'Mobilização - IBOTIRAMA'!F26:G26</f>
        <v>4347</v>
      </c>
      <c r="G24" s="147">
        <v>0.41</v>
      </c>
      <c r="H24" s="140">
        <f>ROUND(F24*G24,2)</f>
        <v>1782.27</v>
      </c>
    </row>
    <row r="25" spans="1:10" ht="21.95" customHeight="1">
      <c r="A25" s="3"/>
      <c r="B25" s="4"/>
      <c r="C25" s="4"/>
      <c r="D25" s="4"/>
      <c r="E25" s="368" t="s">
        <v>320</v>
      </c>
      <c r="F25" s="369"/>
      <c r="G25" s="370"/>
      <c r="H25" s="141">
        <f>SUM(H22:H24)</f>
        <v>2479.0699999999997</v>
      </c>
    </row>
    <row r="26" spans="1:10" ht="21.95" customHeight="1">
      <c r="A26" s="3"/>
      <c r="B26" s="4"/>
      <c r="C26" s="4"/>
      <c r="D26" s="4"/>
      <c r="E26" s="371">
        <f>$H$9</f>
        <v>0.21378112315270936</v>
      </c>
      <c r="F26" s="369"/>
      <c r="G26" s="370"/>
      <c r="H26" s="142">
        <f>ROUND((E26*H25),2)</f>
        <v>529.98</v>
      </c>
    </row>
    <row r="27" spans="1:10" ht="21.95" customHeight="1">
      <c r="A27" s="3"/>
      <c r="B27" s="4"/>
      <c r="C27" s="4"/>
      <c r="D27" s="4"/>
      <c r="E27" s="368" t="s">
        <v>322</v>
      </c>
      <c r="F27" s="369"/>
      <c r="G27" s="370"/>
      <c r="H27" s="144">
        <f>ROUND(SUM(H25:H26),2)</f>
        <v>3009.05</v>
      </c>
    </row>
    <row r="28" spans="1:10" ht="21.95" customHeight="1">
      <c r="A28" s="372"/>
      <c r="B28" s="373"/>
      <c r="C28" s="373"/>
      <c r="D28" s="373"/>
      <c r="E28" s="373"/>
      <c r="F28" s="373"/>
      <c r="G28" s="373"/>
      <c r="H28" s="374"/>
    </row>
    <row r="29" spans="1:10" ht="35.25" customHeight="1">
      <c r="A29" s="134" t="s">
        <v>38</v>
      </c>
      <c r="B29" s="134" t="s">
        <v>313</v>
      </c>
      <c r="C29" s="134" t="s">
        <v>12</v>
      </c>
      <c r="D29" s="135" t="s">
        <v>333</v>
      </c>
      <c r="E29" s="134" t="s">
        <v>14</v>
      </c>
      <c r="F29" s="136" t="s">
        <v>15</v>
      </c>
      <c r="G29" s="136" t="s">
        <v>314</v>
      </c>
      <c r="H29" s="136" t="s">
        <v>315</v>
      </c>
    </row>
    <row r="30" spans="1:10">
      <c r="A30" s="137" t="s">
        <v>334</v>
      </c>
      <c r="B30" s="137" t="s">
        <v>26</v>
      </c>
      <c r="C30" s="137">
        <v>5075</v>
      </c>
      <c r="D30" s="138" t="s">
        <v>335</v>
      </c>
      <c r="E30" s="137" t="s">
        <v>336</v>
      </c>
      <c r="F30" s="146">
        <v>0.11</v>
      </c>
      <c r="G30" s="147">
        <v>19.73</v>
      </c>
      <c r="H30" s="140">
        <f t="shared" ref="H30:H39" si="0">ROUND(F30*G30,2)</f>
        <v>2.17</v>
      </c>
    </row>
    <row r="31" spans="1:10" ht="27" customHeight="1">
      <c r="A31" s="137" t="s">
        <v>334</v>
      </c>
      <c r="B31" s="137" t="s">
        <v>26</v>
      </c>
      <c r="C31" s="137">
        <v>4491</v>
      </c>
      <c r="D31" s="138" t="s">
        <v>337</v>
      </c>
      <c r="E31" s="137" t="s">
        <v>54</v>
      </c>
      <c r="F31" s="146">
        <v>4</v>
      </c>
      <c r="G31" s="147">
        <v>8.83</v>
      </c>
      <c r="H31" s="140">
        <f t="shared" si="0"/>
        <v>35.32</v>
      </c>
    </row>
    <row r="32" spans="1:10" ht="27" customHeight="1">
      <c r="A32" s="137" t="s">
        <v>334</v>
      </c>
      <c r="B32" s="137" t="s">
        <v>26</v>
      </c>
      <c r="C32" s="137">
        <v>4417</v>
      </c>
      <c r="D32" s="138" t="s">
        <v>338</v>
      </c>
      <c r="E32" s="137" t="s">
        <v>54</v>
      </c>
      <c r="F32" s="146">
        <v>1</v>
      </c>
      <c r="G32" s="147">
        <v>8.9499999999999993</v>
      </c>
      <c r="H32" s="140">
        <f t="shared" si="0"/>
        <v>8.9499999999999993</v>
      </c>
    </row>
    <row r="33" spans="1:8" ht="27" customHeight="1">
      <c r="A33" s="137" t="s">
        <v>334</v>
      </c>
      <c r="B33" s="137" t="s">
        <v>26</v>
      </c>
      <c r="C33" s="137">
        <v>4813</v>
      </c>
      <c r="D33" s="138" t="s">
        <v>339</v>
      </c>
      <c r="E33" s="137" t="s">
        <v>40</v>
      </c>
      <c r="F33" s="146">
        <v>1</v>
      </c>
      <c r="G33" s="147">
        <v>262.5</v>
      </c>
      <c r="H33" s="140">
        <f t="shared" si="0"/>
        <v>262.5</v>
      </c>
    </row>
    <row r="34" spans="1:8" ht="27" customHeight="1">
      <c r="A34" s="137" t="s">
        <v>334</v>
      </c>
      <c r="B34" s="137" t="s">
        <v>26</v>
      </c>
      <c r="C34" s="137">
        <v>370</v>
      </c>
      <c r="D34" s="138" t="s">
        <v>340</v>
      </c>
      <c r="E34" s="137" t="s">
        <v>52</v>
      </c>
      <c r="F34" s="146">
        <v>4.8999999999999998E-3</v>
      </c>
      <c r="G34" s="147">
        <v>100</v>
      </c>
      <c r="H34" s="140">
        <f t="shared" si="0"/>
        <v>0.49</v>
      </c>
    </row>
    <row r="35" spans="1:8" ht="27" customHeight="1">
      <c r="A35" s="137" t="s">
        <v>334</v>
      </c>
      <c r="B35" s="137" t="s">
        <v>26</v>
      </c>
      <c r="C35" s="137">
        <v>1379</v>
      </c>
      <c r="D35" s="138" t="s">
        <v>341</v>
      </c>
      <c r="E35" s="137" t="s">
        <v>336</v>
      </c>
      <c r="F35" s="146">
        <v>1.5</v>
      </c>
      <c r="G35" s="147">
        <v>0.75</v>
      </c>
      <c r="H35" s="140">
        <f t="shared" si="0"/>
        <v>1.1299999999999999</v>
      </c>
    </row>
    <row r="36" spans="1:8">
      <c r="A36" s="137" t="s">
        <v>334</v>
      </c>
      <c r="B36" s="137" t="s">
        <v>26</v>
      </c>
      <c r="C36" s="137">
        <v>4718</v>
      </c>
      <c r="D36" s="138" t="s">
        <v>342</v>
      </c>
      <c r="E36" s="137" t="s">
        <v>52</v>
      </c>
      <c r="F36" s="146">
        <v>9.7999999999999997E-3</v>
      </c>
      <c r="G36" s="147">
        <v>70.02</v>
      </c>
      <c r="H36" s="140">
        <f t="shared" si="0"/>
        <v>0.69</v>
      </c>
    </row>
    <row r="37" spans="1:8" ht="24">
      <c r="A37" s="137" t="s">
        <v>343</v>
      </c>
      <c r="B37" s="137" t="s">
        <v>26</v>
      </c>
      <c r="C37" s="137">
        <v>87445</v>
      </c>
      <c r="D37" s="138" t="s">
        <v>344</v>
      </c>
      <c r="E37" s="137" t="s">
        <v>345</v>
      </c>
      <c r="F37" s="146">
        <v>6.4999999999999997E-3</v>
      </c>
      <c r="G37" s="147">
        <v>4.51</v>
      </c>
      <c r="H37" s="140">
        <f t="shared" si="0"/>
        <v>0.03</v>
      </c>
    </row>
    <row r="38" spans="1:8" ht="27" customHeight="1">
      <c r="A38" s="137" t="s">
        <v>343</v>
      </c>
      <c r="B38" s="137" t="s">
        <v>26</v>
      </c>
      <c r="C38" s="137">
        <v>88262</v>
      </c>
      <c r="D38" s="138" t="s">
        <v>346</v>
      </c>
      <c r="E38" s="137" t="s">
        <v>345</v>
      </c>
      <c r="F38" s="146">
        <v>1</v>
      </c>
      <c r="G38" s="147">
        <v>26.39</v>
      </c>
      <c r="H38" s="140">
        <f t="shared" si="0"/>
        <v>26.39</v>
      </c>
    </row>
    <row r="39" spans="1:8" ht="27" customHeight="1">
      <c r="A39" s="137" t="s">
        <v>343</v>
      </c>
      <c r="B39" s="137" t="s">
        <v>26</v>
      </c>
      <c r="C39" s="137">
        <v>88316</v>
      </c>
      <c r="D39" s="138" t="s">
        <v>347</v>
      </c>
      <c r="E39" s="137" t="s">
        <v>345</v>
      </c>
      <c r="F39" s="146">
        <v>2.06</v>
      </c>
      <c r="G39" s="147">
        <v>18.79</v>
      </c>
      <c r="H39" s="140">
        <f t="shared" si="0"/>
        <v>38.71</v>
      </c>
    </row>
    <row r="40" spans="1:8" ht="21.95" customHeight="1">
      <c r="A40" s="3"/>
      <c r="B40" s="4"/>
      <c r="C40" s="4"/>
      <c r="D40" s="4"/>
      <c r="E40" s="368" t="s">
        <v>320</v>
      </c>
      <c r="F40" s="369"/>
      <c r="G40" s="370"/>
      <c r="H40" s="141">
        <f>SUM(H30:H39)</f>
        <v>376.37999999999994</v>
      </c>
    </row>
    <row r="41" spans="1:8" ht="21.95" customHeight="1">
      <c r="A41" s="3"/>
      <c r="B41" s="4"/>
      <c r="C41" s="4"/>
      <c r="D41" s="4"/>
      <c r="E41" s="371">
        <f>H9</f>
        <v>0.21378112315270936</v>
      </c>
      <c r="F41" s="369"/>
      <c r="G41" s="370"/>
      <c r="H41" s="142">
        <f>ROUND((E41*H40),2)</f>
        <v>80.459999999999994</v>
      </c>
    </row>
    <row r="42" spans="1:8" ht="21.95" customHeight="1">
      <c r="A42" s="150"/>
      <c r="B42" s="151"/>
      <c r="C42" s="151"/>
      <c r="D42" s="151"/>
      <c r="E42" s="368" t="s">
        <v>322</v>
      </c>
      <c r="F42" s="369"/>
      <c r="G42" s="370"/>
      <c r="H42" s="144">
        <f>ROUND(H40+H41,2)</f>
        <v>456.84</v>
      </c>
    </row>
    <row r="44" spans="1:8" ht="35.25" customHeight="1">
      <c r="A44" s="134" t="s">
        <v>42</v>
      </c>
      <c r="B44" s="134" t="s">
        <v>313</v>
      </c>
      <c r="C44" s="134" t="s">
        <v>12</v>
      </c>
      <c r="D44" s="135" t="s">
        <v>348</v>
      </c>
      <c r="E44" s="134" t="s">
        <v>14</v>
      </c>
      <c r="F44" s="136" t="s">
        <v>15</v>
      </c>
      <c r="G44" s="136" t="s">
        <v>314</v>
      </c>
      <c r="H44" s="136" t="s">
        <v>315</v>
      </c>
    </row>
    <row r="45" spans="1:8" ht="36">
      <c r="A45" s="137" t="s">
        <v>334</v>
      </c>
      <c r="B45" s="137" t="s">
        <v>26</v>
      </c>
      <c r="C45" s="137">
        <v>20206</v>
      </c>
      <c r="D45" s="138" t="s">
        <v>349</v>
      </c>
      <c r="E45" s="137" t="s">
        <v>54</v>
      </c>
      <c r="F45" s="152">
        <v>2.8860000000000001E-3</v>
      </c>
      <c r="G45" s="147">
        <v>11.31</v>
      </c>
      <c r="H45" s="140">
        <f t="shared" ref="H45:H50" si="1">ROUND(F45*G45,2)</f>
        <v>0.03</v>
      </c>
    </row>
    <row r="46" spans="1:8" ht="27" customHeight="1">
      <c r="A46" s="137" t="s">
        <v>343</v>
      </c>
      <c r="B46" s="137" t="s">
        <v>26</v>
      </c>
      <c r="C46" s="137">
        <v>88253</v>
      </c>
      <c r="D46" s="138" t="s">
        <v>350</v>
      </c>
      <c r="E46" s="137" t="s">
        <v>345</v>
      </c>
      <c r="F46" s="152">
        <v>2.5000000000000001E-3</v>
      </c>
      <c r="G46" s="147">
        <v>13.6</v>
      </c>
      <c r="H46" s="140">
        <f t="shared" si="1"/>
        <v>0.03</v>
      </c>
    </row>
    <row r="47" spans="1:8" ht="27" customHeight="1">
      <c r="A47" s="137" t="s">
        <v>343</v>
      </c>
      <c r="B47" s="137" t="s">
        <v>26</v>
      </c>
      <c r="C47" s="137">
        <v>88288</v>
      </c>
      <c r="D47" s="138" t="s">
        <v>351</v>
      </c>
      <c r="E47" s="137" t="s">
        <v>345</v>
      </c>
      <c r="F47" s="152">
        <v>2.5000000000000001E-3</v>
      </c>
      <c r="G47" s="147">
        <v>16.73</v>
      </c>
      <c r="H47" s="140">
        <f t="shared" si="1"/>
        <v>0.04</v>
      </c>
    </row>
    <row r="48" spans="1:8" ht="27" customHeight="1">
      <c r="A48" s="137" t="s">
        <v>343</v>
      </c>
      <c r="B48" s="137" t="s">
        <v>26</v>
      </c>
      <c r="C48" s="137">
        <v>88316</v>
      </c>
      <c r="D48" s="138" t="s">
        <v>347</v>
      </c>
      <c r="E48" s="137" t="s">
        <v>345</v>
      </c>
      <c r="F48" s="152">
        <v>7.4999999999999997E-3</v>
      </c>
      <c r="G48" s="147">
        <v>18.79</v>
      </c>
      <c r="H48" s="140">
        <f t="shared" si="1"/>
        <v>0.14000000000000001</v>
      </c>
    </row>
    <row r="49" spans="1:8" ht="27" customHeight="1">
      <c r="A49" s="137" t="s">
        <v>343</v>
      </c>
      <c r="B49" s="137" t="s">
        <v>26</v>
      </c>
      <c r="C49" s="137">
        <v>88597</v>
      </c>
      <c r="D49" s="138" t="s">
        <v>352</v>
      </c>
      <c r="E49" s="137" t="s">
        <v>345</v>
      </c>
      <c r="F49" s="152">
        <v>2E-3</v>
      </c>
      <c r="G49" s="147">
        <v>43.22</v>
      </c>
      <c r="H49" s="140">
        <f t="shared" si="1"/>
        <v>0.09</v>
      </c>
    </row>
    <row r="50" spans="1:8" ht="36">
      <c r="A50" s="137" t="s">
        <v>343</v>
      </c>
      <c r="B50" s="137" t="s">
        <v>26</v>
      </c>
      <c r="C50" s="137">
        <v>92145</v>
      </c>
      <c r="D50" s="138" t="s">
        <v>353</v>
      </c>
      <c r="E50" s="137" t="s">
        <v>354</v>
      </c>
      <c r="F50" s="152">
        <v>1E-3</v>
      </c>
      <c r="G50" s="147">
        <v>78.27</v>
      </c>
      <c r="H50" s="140">
        <f t="shared" si="1"/>
        <v>0.08</v>
      </c>
    </row>
    <row r="51" spans="1:8" ht="21.95" customHeight="1">
      <c r="A51" s="3"/>
      <c r="B51" s="4"/>
      <c r="C51" s="4"/>
      <c r="D51" s="4"/>
      <c r="E51" s="368" t="s">
        <v>320</v>
      </c>
      <c r="F51" s="369"/>
      <c r="G51" s="370"/>
      <c r="H51" s="141">
        <f>SUM(H45:H50)</f>
        <v>0.41000000000000003</v>
      </c>
    </row>
    <row r="52" spans="1:8" ht="21.95" customHeight="1">
      <c r="A52" s="3"/>
      <c r="B52" s="4"/>
      <c r="C52" s="4"/>
      <c r="D52" s="4"/>
      <c r="E52" s="371">
        <f>H9</f>
        <v>0.21378112315270936</v>
      </c>
      <c r="F52" s="369"/>
      <c r="G52" s="370"/>
      <c r="H52" s="142">
        <f>ROUND((E52*H51),2)</f>
        <v>0.09</v>
      </c>
    </row>
    <row r="53" spans="1:8" ht="21.95" customHeight="1">
      <c r="A53" s="150"/>
      <c r="B53" s="151"/>
      <c r="C53" s="151"/>
      <c r="D53" s="151"/>
      <c r="E53" s="368" t="s">
        <v>322</v>
      </c>
      <c r="F53" s="369"/>
      <c r="G53" s="370"/>
      <c r="H53" s="144">
        <f>ROUND(H51+H52,2)</f>
        <v>0.5</v>
      </c>
    </row>
  </sheetData>
  <mergeCells count="24">
    <mergeCell ref="D1:H1"/>
    <mergeCell ref="D2:H2"/>
    <mergeCell ref="D3:H3"/>
    <mergeCell ref="A5:H5"/>
    <mergeCell ref="A7:H7"/>
    <mergeCell ref="F9:G9"/>
    <mergeCell ref="F10:G10"/>
    <mergeCell ref="B11:D11"/>
    <mergeCell ref="F11:H11"/>
    <mergeCell ref="E16:G16"/>
    <mergeCell ref="E17:G17"/>
    <mergeCell ref="E18:G18"/>
    <mergeCell ref="E19:G19"/>
    <mergeCell ref="E20:G20"/>
    <mergeCell ref="E25:G25"/>
    <mergeCell ref="E26:G26"/>
    <mergeCell ref="E27:G27"/>
    <mergeCell ref="A28:H28"/>
    <mergeCell ref="E53:G53"/>
    <mergeCell ref="E40:G40"/>
    <mergeCell ref="E41:G41"/>
    <mergeCell ref="E42:G42"/>
    <mergeCell ref="E51:G51"/>
    <mergeCell ref="E52:G52"/>
  </mergeCells>
  <pageMargins left="0.511811024" right="0.511811024" top="0.78740157499999996" bottom="0.78740157499999996" header="0.31496062000000002" footer="0.31496062000000002"/>
  <pageSetup paperSize="9" scale="5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H97"/>
  <sheetViews>
    <sheetView tabSelected="1" view="pageBreakPreview" zoomScaleNormal="100" zoomScaleSheetLayoutView="100" workbookViewId="0">
      <selection activeCell="D14" sqref="D14:D15"/>
    </sheetView>
  </sheetViews>
  <sheetFormatPr defaultColWidth="9" defaultRowHeight="12.75"/>
  <cols>
    <col min="1" max="2" width="13.28515625" customWidth="1"/>
    <col min="3" max="3" width="15.5703125" customWidth="1"/>
    <col min="4" max="4" width="93.42578125" customWidth="1"/>
    <col min="5" max="5" width="17.28515625" customWidth="1"/>
    <col min="6" max="6" width="19.7109375" customWidth="1"/>
    <col min="7" max="7" width="16.42578125" customWidth="1"/>
    <col min="8" max="8" width="11.5703125" customWidth="1"/>
    <col min="12" max="12" width="12.85546875"/>
  </cols>
  <sheetData>
    <row r="1" spans="1:8">
      <c r="A1" s="116"/>
      <c r="B1" s="117"/>
      <c r="C1" s="412" t="s">
        <v>523</v>
      </c>
      <c r="D1" s="413"/>
      <c r="E1" s="413"/>
      <c r="F1" s="413"/>
      <c r="G1" s="413"/>
      <c r="H1" s="118"/>
    </row>
    <row r="2" spans="1:8">
      <c r="A2" s="119"/>
      <c r="B2" s="4"/>
      <c r="C2" s="385" t="s">
        <v>355</v>
      </c>
      <c r="D2" s="386"/>
      <c r="E2" s="386"/>
      <c r="F2" s="386"/>
      <c r="G2" s="386"/>
      <c r="H2" s="120"/>
    </row>
    <row r="3" spans="1:8">
      <c r="A3" s="119"/>
      <c r="B3" s="4"/>
      <c r="C3" s="385" t="s">
        <v>356</v>
      </c>
      <c r="D3" s="386"/>
      <c r="E3" s="386"/>
      <c r="F3" s="386"/>
      <c r="G3" s="386"/>
      <c r="H3" s="120"/>
    </row>
    <row r="4" spans="1:8">
      <c r="A4" s="119"/>
      <c r="B4" s="4"/>
      <c r="C4" s="4"/>
      <c r="D4" s="4"/>
      <c r="E4" s="4"/>
      <c r="F4" s="4"/>
      <c r="G4" s="4"/>
      <c r="H4" s="120"/>
    </row>
    <row r="5" spans="1:8" ht="15.75">
      <c r="A5" s="414" t="s">
        <v>521</v>
      </c>
      <c r="B5" s="389"/>
      <c r="C5" s="389"/>
      <c r="D5" s="389"/>
      <c r="E5" s="389"/>
      <c r="F5" s="389"/>
      <c r="G5" s="389"/>
      <c r="H5" s="120"/>
    </row>
    <row r="6" spans="1:8" ht="15.75">
      <c r="A6" s="121"/>
      <c r="B6" s="7"/>
      <c r="C6" s="7"/>
      <c r="D6" s="7"/>
      <c r="E6" s="7"/>
      <c r="F6" s="7"/>
      <c r="G6" s="7"/>
      <c r="H6" s="120"/>
    </row>
    <row r="7" spans="1:8" ht="39.950000000000003" customHeight="1">
      <c r="A7" s="415" t="str">
        <f>'Planilha - IBOTIRAMA'!A5:I5</f>
        <v>CONSTRUÇÃO DE 04 (QUATRO) PRAÇAS, SENDO: 01 (UMA) NO MUNICÍPIO DE BAIANÓPOLIS, 01 (UMA) NO MUNICÍPIO DE IBOTIRAMA, 01 (UMA) NO MUNICÍPIO DE ILHÉUS E 01 (UMA) NO MUNICÍPIO DE LIVRAMENTO DE NOSSA SENHORA, E REQUALIFICAÇÃO DE 01 (UMA) PRAÇA NO MUNICÍPIO DE PORTO SEGURO, TODAS NO ESTADO DA BAHIA, ÁREA DE ABRANGÊNCIA DA 2ª SUPERINTENDÊNCIA REGIONAL DA CODEVASF</v>
      </c>
      <c r="B7" s="325"/>
      <c r="C7" s="325"/>
      <c r="D7" s="325"/>
      <c r="E7" s="325"/>
      <c r="F7" s="325"/>
      <c r="G7" s="325"/>
      <c r="H7" s="416"/>
    </row>
    <row r="8" spans="1:8" ht="15.75">
      <c r="A8" s="121"/>
      <c r="B8" s="7"/>
      <c r="C8" s="7"/>
      <c r="D8" s="7"/>
      <c r="E8" s="7"/>
      <c r="F8" s="7"/>
      <c r="G8" s="7"/>
      <c r="H8" s="120"/>
    </row>
    <row r="9" spans="1:8" ht="21.95" customHeight="1">
      <c r="A9" s="119"/>
      <c r="B9" s="4"/>
      <c r="C9" s="4"/>
      <c r="D9" s="4"/>
      <c r="E9" s="378" t="s">
        <v>311</v>
      </c>
      <c r="F9" s="378"/>
      <c r="G9" s="417">
        <f>BDI!D36</f>
        <v>0.21378112315270936</v>
      </c>
      <c r="H9" s="418"/>
    </row>
    <row r="10" spans="1:8" ht="21.95" customHeight="1">
      <c r="A10" s="119"/>
      <c r="B10" s="4"/>
      <c r="C10" s="4"/>
      <c r="D10" s="4"/>
      <c r="E10" s="378" t="s">
        <v>312</v>
      </c>
      <c r="F10" s="378"/>
      <c r="G10" s="417">
        <f>'ENC SOCIAIS'!F52</f>
        <v>1.1446999999999998</v>
      </c>
      <c r="H10" s="418"/>
    </row>
    <row r="11" spans="1:8" ht="21.95" customHeight="1">
      <c r="A11" s="122" t="s">
        <v>8</v>
      </c>
      <c r="B11" s="317" t="s">
        <v>9</v>
      </c>
      <c r="C11" s="317"/>
      <c r="D11" s="317"/>
      <c r="E11" s="410" t="s">
        <v>450</v>
      </c>
      <c r="F11" s="410"/>
      <c r="G11" s="410"/>
      <c r="H11" s="411"/>
    </row>
    <row r="12" spans="1:8" ht="16.5" customHeight="1">
      <c r="A12" s="119"/>
      <c r="B12" s="4"/>
      <c r="C12" s="4"/>
      <c r="D12" s="4"/>
      <c r="E12" s="4"/>
      <c r="F12" s="4"/>
      <c r="G12" s="5"/>
      <c r="H12" s="120"/>
    </row>
    <row r="13" spans="1:8">
      <c r="A13" s="119"/>
      <c r="H13" s="120"/>
    </row>
    <row r="14" spans="1:8">
      <c r="A14" s="408" t="s">
        <v>69</v>
      </c>
      <c r="B14" s="398" t="s">
        <v>22</v>
      </c>
      <c r="C14" s="398" t="s">
        <v>369</v>
      </c>
      <c r="D14" s="405" t="s">
        <v>370</v>
      </c>
      <c r="E14" s="398" t="s">
        <v>357</v>
      </c>
      <c r="F14" s="394" t="s">
        <v>358</v>
      </c>
      <c r="G14" s="394" t="s">
        <v>359</v>
      </c>
      <c r="H14" s="396" t="s">
        <v>315</v>
      </c>
    </row>
    <row r="15" spans="1:8" ht="24" customHeight="1">
      <c r="A15" s="409"/>
      <c r="B15" s="399"/>
      <c r="C15" s="399"/>
      <c r="D15" s="404"/>
      <c r="E15" s="399"/>
      <c r="F15" s="395"/>
      <c r="G15" s="395"/>
      <c r="H15" s="397"/>
    </row>
    <row r="16" spans="1:8">
      <c r="A16" s="123" t="s">
        <v>334</v>
      </c>
      <c r="B16" s="12" t="s">
        <v>26</v>
      </c>
      <c r="C16" s="12">
        <v>370</v>
      </c>
      <c r="D16" s="24" t="s">
        <v>360</v>
      </c>
      <c r="E16" s="12" t="s">
        <v>145</v>
      </c>
      <c r="F16" s="13" t="s">
        <v>361</v>
      </c>
      <c r="G16" s="13">
        <v>100</v>
      </c>
      <c r="H16" s="124">
        <f>F16*G16</f>
        <v>5.6800000000000006</v>
      </c>
    </row>
    <row r="17" spans="1:8" ht="33.75">
      <c r="A17" s="123" t="s">
        <v>334</v>
      </c>
      <c r="B17" s="12" t="s">
        <v>26</v>
      </c>
      <c r="C17" s="12">
        <v>36156</v>
      </c>
      <c r="D17" s="24" t="s">
        <v>371</v>
      </c>
      <c r="E17" s="12" t="s">
        <v>46</v>
      </c>
      <c r="F17" s="13">
        <v>1.0487</v>
      </c>
      <c r="G17" s="288">
        <v>44.01</v>
      </c>
      <c r="H17" s="124">
        <f t="shared" ref="H17:H23" si="0">F17*G17</f>
        <v>46.153286999999999</v>
      </c>
    </row>
    <row r="18" spans="1:8">
      <c r="A18" s="123" t="s">
        <v>334</v>
      </c>
      <c r="B18" s="12" t="s">
        <v>26</v>
      </c>
      <c r="C18" s="12">
        <v>4741</v>
      </c>
      <c r="D18" s="24" t="s">
        <v>362</v>
      </c>
      <c r="E18" s="12" t="s">
        <v>145</v>
      </c>
      <c r="F18" s="13">
        <v>6.4999999999999997E-3</v>
      </c>
      <c r="G18" s="288">
        <v>65.790000000000006</v>
      </c>
      <c r="H18" s="124">
        <f t="shared" si="0"/>
        <v>0.42763500000000004</v>
      </c>
    </row>
    <row r="19" spans="1:8">
      <c r="A19" s="125" t="s">
        <v>343</v>
      </c>
      <c r="B19" s="12" t="s">
        <v>26</v>
      </c>
      <c r="C19" s="12">
        <v>88260</v>
      </c>
      <c r="D19" s="24" t="s">
        <v>363</v>
      </c>
      <c r="E19" s="12" t="s">
        <v>319</v>
      </c>
      <c r="F19" s="13">
        <v>0.39750000000000002</v>
      </c>
      <c r="G19" s="288">
        <v>27.29</v>
      </c>
      <c r="H19" s="124">
        <f t="shared" si="0"/>
        <v>10.847775</v>
      </c>
    </row>
    <row r="20" spans="1:8">
      <c r="A20" s="125" t="s">
        <v>343</v>
      </c>
      <c r="B20" s="12" t="s">
        <v>26</v>
      </c>
      <c r="C20" s="12">
        <v>88316</v>
      </c>
      <c r="D20" s="24" t="s">
        <v>347</v>
      </c>
      <c r="E20" s="12" t="s">
        <v>319</v>
      </c>
      <c r="F20" s="13">
        <v>0.39750000000000002</v>
      </c>
      <c r="G20" s="288">
        <v>18.79</v>
      </c>
      <c r="H20" s="124">
        <f t="shared" si="0"/>
        <v>7.4690250000000002</v>
      </c>
    </row>
    <row r="21" spans="1:8" ht="22.5">
      <c r="A21" s="125" t="s">
        <v>343</v>
      </c>
      <c r="B21" s="12" t="s">
        <v>30</v>
      </c>
      <c r="C21" s="12">
        <v>11450</v>
      </c>
      <c r="D21" s="24" t="s">
        <v>364</v>
      </c>
      <c r="E21" s="12" t="s">
        <v>164</v>
      </c>
      <c r="F21" s="13">
        <v>1</v>
      </c>
      <c r="G21" s="288">
        <v>1.77</v>
      </c>
      <c r="H21" s="124">
        <f t="shared" si="0"/>
        <v>1.77</v>
      </c>
    </row>
    <row r="22" spans="1:8" ht="33.75">
      <c r="A22" s="125" t="s">
        <v>343</v>
      </c>
      <c r="B22" s="12" t="s">
        <v>26</v>
      </c>
      <c r="C22" s="12" t="s">
        <v>365</v>
      </c>
      <c r="D22" s="24" t="s">
        <v>366</v>
      </c>
      <c r="E22" s="12" t="s">
        <v>327</v>
      </c>
      <c r="F22" s="13">
        <v>4.8300000000000003E-2</v>
      </c>
      <c r="G22" s="13">
        <v>23.12</v>
      </c>
      <c r="H22" s="124">
        <f t="shared" si="0"/>
        <v>1.1166960000000001</v>
      </c>
    </row>
    <row r="23" spans="1:8" ht="33.75">
      <c r="A23" s="125" t="s">
        <v>343</v>
      </c>
      <c r="B23" s="12" t="s">
        <v>26</v>
      </c>
      <c r="C23" s="12">
        <v>91285</v>
      </c>
      <c r="D23" s="24" t="s">
        <v>366</v>
      </c>
      <c r="E23" s="12" t="s">
        <v>372</v>
      </c>
      <c r="F23" s="13">
        <v>0.15040000000000001</v>
      </c>
      <c r="G23" s="13">
        <v>0.84</v>
      </c>
      <c r="H23" s="124">
        <f t="shared" si="0"/>
        <v>0.126336</v>
      </c>
    </row>
    <row r="24" spans="1:8">
      <c r="A24" s="126"/>
      <c r="B24" s="14"/>
      <c r="C24" s="14"/>
      <c r="D24" s="14"/>
      <c r="E24" s="402" t="s">
        <v>320</v>
      </c>
      <c r="F24" s="402"/>
      <c r="G24" s="403"/>
      <c r="H24" s="127">
        <f>SUM(H16:H23)</f>
        <v>73.59075399999999</v>
      </c>
    </row>
    <row r="25" spans="1:8">
      <c r="A25" s="128"/>
      <c r="B25" s="15"/>
      <c r="C25" s="15"/>
      <c r="D25" s="15"/>
      <c r="E25" s="16"/>
      <c r="F25" s="17" t="s">
        <v>367</v>
      </c>
      <c r="G25" s="18">
        <f>$G$9</f>
        <v>0.21378112315270936</v>
      </c>
      <c r="H25" s="129">
        <f>ROUND(H24*G25,2)</f>
        <v>15.73</v>
      </c>
    </row>
    <row r="26" spans="1:8">
      <c r="A26" s="130"/>
      <c r="B26" s="19"/>
      <c r="C26" s="19"/>
      <c r="D26" s="19"/>
      <c r="E26" s="20"/>
      <c r="F26" s="20"/>
      <c r="G26" s="21" t="s">
        <v>368</v>
      </c>
      <c r="H26" s="131">
        <f>H24+H25</f>
        <v>89.320753999999994</v>
      </c>
    </row>
    <row r="27" spans="1:8">
      <c r="A27" s="132"/>
      <c r="B27" s="22"/>
      <c r="C27" s="22"/>
      <c r="D27" s="22"/>
      <c r="E27" s="23" t="str">
        <f>A14</f>
        <v>CPU-06</v>
      </c>
      <c r="F27" s="400" t="s">
        <v>322</v>
      </c>
      <c r="G27" s="401"/>
      <c r="H27" s="133">
        <f>H26</f>
        <v>89.320753999999994</v>
      </c>
    </row>
    <row r="28" spans="1:8">
      <c r="A28" s="119"/>
      <c r="H28" s="120"/>
    </row>
    <row r="29" spans="1:8">
      <c r="A29" s="408" t="s">
        <v>120</v>
      </c>
      <c r="B29" s="398" t="s">
        <v>22</v>
      </c>
      <c r="C29" s="398"/>
      <c r="D29" s="405" t="s">
        <v>379</v>
      </c>
      <c r="E29" s="398" t="s">
        <v>357</v>
      </c>
      <c r="F29" s="394" t="s">
        <v>358</v>
      </c>
      <c r="G29" s="394" t="s">
        <v>359</v>
      </c>
      <c r="H29" s="396" t="s">
        <v>315</v>
      </c>
    </row>
    <row r="30" spans="1:8">
      <c r="A30" s="409"/>
      <c r="B30" s="399"/>
      <c r="C30" s="399"/>
      <c r="D30" s="404" t="s">
        <v>373</v>
      </c>
      <c r="E30" s="399"/>
      <c r="F30" s="395"/>
      <c r="G30" s="395"/>
      <c r="H30" s="397"/>
    </row>
    <row r="31" spans="1:8">
      <c r="A31" s="123" t="s">
        <v>343</v>
      </c>
      <c r="B31" s="12" t="s">
        <v>375</v>
      </c>
      <c r="C31" s="12">
        <v>88262</v>
      </c>
      <c r="D31" s="24" t="s">
        <v>346</v>
      </c>
      <c r="E31" s="12" t="s">
        <v>319</v>
      </c>
      <c r="F31" s="13">
        <v>2.2559999999999998</v>
      </c>
      <c r="G31" s="288">
        <v>26.39</v>
      </c>
      <c r="H31" s="124">
        <f>F31*G31</f>
        <v>59.535839999999993</v>
      </c>
    </row>
    <row r="32" spans="1:8">
      <c r="A32" s="123" t="s">
        <v>334</v>
      </c>
      <c r="B32" s="12" t="s">
        <v>375</v>
      </c>
      <c r="C32" s="12">
        <v>4460</v>
      </c>
      <c r="D32" s="24" t="s">
        <v>380</v>
      </c>
      <c r="E32" s="12" t="s">
        <v>94</v>
      </c>
      <c r="F32" s="13">
        <v>2.5</v>
      </c>
      <c r="G32" s="13">
        <v>11.61</v>
      </c>
      <c r="H32" s="124">
        <f>F32*G32</f>
        <v>29.024999999999999</v>
      </c>
    </row>
    <row r="33" spans="1:8">
      <c r="A33" s="123" t="s">
        <v>334</v>
      </c>
      <c r="B33" s="12" t="s">
        <v>375</v>
      </c>
      <c r="C33" s="12">
        <v>4517</v>
      </c>
      <c r="D33" s="24" t="s">
        <v>381</v>
      </c>
      <c r="E33" s="12" t="s">
        <v>94</v>
      </c>
      <c r="F33" s="13">
        <v>2</v>
      </c>
      <c r="G33" s="13">
        <v>3.09</v>
      </c>
      <c r="H33" s="124">
        <f>F33*G33</f>
        <v>6.18</v>
      </c>
    </row>
    <row r="34" spans="1:8" ht="22.5">
      <c r="A34" s="123" t="s">
        <v>343</v>
      </c>
      <c r="B34" s="12" t="s">
        <v>375</v>
      </c>
      <c r="C34" s="12">
        <v>94964</v>
      </c>
      <c r="D34" s="24" t="s">
        <v>376</v>
      </c>
      <c r="E34" s="12" t="s">
        <v>77</v>
      </c>
      <c r="F34" s="13">
        <v>1.2130000000000001</v>
      </c>
      <c r="G34" s="13">
        <v>449.17</v>
      </c>
      <c r="H34" s="124">
        <f>F34*G34</f>
        <v>544.84321</v>
      </c>
    </row>
    <row r="35" spans="1:8">
      <c r="A35" s="126"/>
      <c r="B35" s="14"/>
      <c r="C35" s="14"/>
      <c r="D35" s="14"/>
      <c r="E35" s="402" t="s">
        <v>320</v>
      </c>
      <c r="F35" s="402"/>
      <c r="G35" s="403"/>
      <c r="H35" s="127">
        <f>SUM(H31:H34)</f>
        <v>639.58404999999993</v>
      </c>
    </row>
    <row r="36" spans="1:8">
      <c r="A36" s="128"/>
      <c r="B36" s="15"/>
      <c r="C36" s="15"/>
      <c r="D36" s="15"/>
      <c r="E36" s="16"/>
      <c r="F36" s="17" t="s">
        <v>367</v>
      </c>
      <c r="G36" s="18">
        <f>$G$9</f>
        <v>0.21378112315270936</v>
      </c>
      <c r="H36" s="129">
        <f>ROUND(H35*G36,2)</f>
        <v>136.72999999999999</v>
      </c>
    </row>
    <row r="37" spans="1:8">
      <c r="A37" s="130"/>
      <c r="B37" s="19"/>
      <c r="C37" s="19"/>
      <c r="D37" s="19"/>
      <c r="E37" s="20"/>
      <c r="F37" s="20"/>
      <c r="G37" s="21" t="s">
        <v>368</v>
      </c>
      <c r="H37" s="131">
        <f>H35+H36</f>
        <v>776.31404999999995</v>
      </c>
    </row>
    <row r="38" spans="1:8">
      <c r="A38" s="132"/>
      <c r="B38" s="22"/>
      <c r="C38" s="22"/>
      <c r="D38" s="22"/>
      <c r="E38" s="23" t="str">
        <f>A29</f>
        <v>CPU-10</v>
      </c>
      <c r="F38" s="400" t="s">
        <v>322</v>
      </c>
      <c r="G38" s="401"/>
      <c r="H38" s="133">
        <f>H37</f>
        <v>776.31404999999995</v>
      </c>
    </row>
    <row r="39" spans="1:8" ht="15.75" customHeight="1">
      <c r="A39" s="119"/>
      <c r="H39" s="120"/>
    </row>
    <row r="40" spans="1:8">
      <c r="A40" s="408" t="s">
        <v>116</v>
      </c>
      <c r="B40" s="398" t="s">
        <v>22</v>
      </c>
      <c r="C40" s="398" t="s">
        <v>382</v>
      </c>
      <c r="D40" s="406" t="s">
        <v>383</v>
      </c>
      <c r="E40" s="398" t="s">
        <v>357</v>
      </c>
      <c r="F40" s="394" t="s">
        <v>358</v>
      </c>
      <c r="G40" s="394" t="s">
        <v>359</v>
      </c>
      <c r="H40" s="396" t="s">
        <v>315</v>
      </c>
    </row>
    <row r="41" spans="1:8">
      <c r="A41" s="409"/>
      <c r="B41" s="399"/>
      <c r="C41" s="399"/>
      <c r="D41" s="407"/>
      <c r="E41" s="399"/>
      <c r="F41" s="395"/>
      <c r="G41" s="395"/>
      <c r="H41" s="397"/>
    </row>
    <row r="42" spans="1:8">
      <c r="A42" s="123" t="s">
        <v>334</v>
      </c>
      <c r="B42" s="12" t="s">
        <v>26</v>
      </c>
      <c r="C42" s="12">
        <v>370</v>
      </c>
      <c r="D42" s="24" t="s">
        <v>360</v>
      </c>
      <c r="E42" s="12" t="s">
        <v>145</v>
      </c>
      <c r="F42" s="13" t="s">
        <v>361</v>
      </c>
      <c r="G42" s="13">
        <v>100</v>
      </c>
      <c r="H42" s="124">
        <f>F42*G42</f>
        <v>5.6800000000000006</v>
      </c>
    </row>
    <row r="43" spans="1:8" ht="33.75">
      <c r="A43" s="123" t="s">
        <v>334</v>
      </c>
      <c r="B43" s="12" t="s">
        <v>26</v>
      </c>
      <c r="C43" s="12">
        <v>36155</v>
      </c>
      <c r="D43" s="24" t="s">
        <v>384</v>
      </c>
      <c r="E43" s="12" t="s">
        <v>46</v>
      </c>
      <c r="F43" s="13">
        <v>1.0487</v>
      </c>
      <c r="G43" s="288">
        <v>38</v>
      </c>
      <c r="H43" s="124">
        <f t="shared" ref="H43:H49" si="1">F43*G43</f>
        <v>39.8506</v>
      </c>
    </row>
    <row r="44" spans="1:8">
      <c r="A44" s="123" t="s">
        <v>334</v>
      </c>
      <c r="B44" s="12" t="s">
        <v>26</v>
      </c>
      <c r="C44" s="12">
        <v>4741</v>
      </c>
      <c r="D44" s="24" t="s">
        <v>362</v>
      </c>
      <c r="E44" s="12" t="s">
        <v>145</v>
      </c>
      <c r="F44" s="13">
        <v>6.4999999999999997E-3</v>
      </c>
      <c r="G44" s="288">
        <v>65.790000000000006</v>
      </c>
      <c r="H44" s="124">
        <f t="shared" si="1"/>
        <v>0.42763500000000004</v>
      </c>
    </row>
    <row r="45" spans="1:8">
      <c r="A45" s="125" t="s">
        <v>343</v>
      </c>
      <c r="B45" s="12" t="s">
        <v>26</v>
      </c>
      <c r="C45" s="12">
        <v>88260</v>
      </c>
      <c r="D45" s="24" t="s">
        <v>363</v>
      </c>
      <c r="E45" s="12" t="s">
        <v>319</v>
      </c>
      <c r="F45" s="13">
        <v>0.39750000000000002</v>
      </c>
      <c r="G45" s="288">
        <v>27.29</v>
      </c>
      <c r="H45" s="124">
        <f t="shared" si="1"/>
        <v>10.847775</v>
      </c>
    </row>
    <row r="46" spans="1:8">
      <c r="A46" s="125" t="s">
        <v>343</v>
      </c>
      <c r="B46" s="12" t="s">
        <v>26</v>
      </c>
      <c r="C46" s="12">
        <v>88316</v>
      </c>
      <c r="D46" s="24" t="s">
        <v>347</v>
      </c>
      <c r="E46" s="12" t="s">
        <v>319</v>
      </c>
      <c r="F46" s="13">
        <v>0.39750000000000002</v>
      </c>
      <c r="G46" s="288">
        <v>18.79</v>
      </c>
      <c r="H46" s="124">
        <f t="shared" si="1"/>
        <v>7.4690250000000002</v>
      </c>
    </row>
    <row r="47" spans="1:8" ht="22.5">
      <c r="A47" s="125" t="s">
        <v>343</v>
      </c>
      <c r="B47" s="12" t="s">
        <v>30</v>
      </c>
      <c r="C47" s="12">
        <v>11450</v>
      </c>
      <c r="D47" s="24" t="s">
        <v>364</v>
      </c>
      <c r="E47" s="12" t="s">
        <v>164</v>
      </c>
      <c r="F47" s="13">
        <v>1</v>
      </c>
      <c r="G47" s="288">
        <v>1.77</v>
      </c>
      <c r="H47" s="124">
        <f t="shared" si="1"/>
        <v>1.77</v>
      </c>
    </row>
    <row r="48" spans="1:8" ht="33.75">
      <c r="A48" s="125" t="s">
        <v>343</v>
      </c>
      <c r="B48" s="12" t="s">
        <v>26</v>
      </c>
      <c r="C48" s="12" t="s">
        <v>365</v>
      </c>
      <c r="D48" s="24" t="s">
        <v>366</v>
      </c>
      <c r="E48" s="12" t="s">
        <v>327</v>
      </c>
      <c r="F48" s="13">
        <v>4.8300000000000003E-2</v>
      </c>
      <c r="G48" s="13">
        <v>23.12</v>
      </c>
      <c r="H48" s="124">
        <f t="shared" si="1"/>
        <v>1.1166960000000001</v>
      </c>
    </row>
    <row r="49" spans="1:8" ht="33.75">
      <c r="A49" s="125" t="s">
        <v>343</v>
      </c>
      <c r="B49" s="12" t="s">
        <v>26</v>
      </c>
      <c r="C49" s="12">
        <v>91285</v>
      </c>
      <c r="D49" s="24" t="s">
        <v>366</v>
      </c>
      <c r="E49" s="12" t="s">
        <v>372</v>
      </c>
      <c r="F49" s="13">
        <v>0.15040000000000001</v>
      </c>
      <c r="G49" s="13">
        <v>0.84</v>
      </c>
      <c r="H49" s="124">
        <f t="shared" si="1"/>
        <v>0.126336</v>
      </c>
    </row>
    <row r="50" spans="1:8">
      <c r="A50" s="126"/>
      <c r="B50" s="14"/>
      <c r="C50" s="14"/>
      <c r="D50" s="14"/>
      <c r="E50" s="402" t="s">
        <v>320</v>
      </c>
      <c r="F50" s="402"/>
      <c r="G50" s="403"/>
      <c r="H50" s="127">
        <f>SUM(H42:H49)</f>
        <v>67.288066999999998</v>
      </c>
    </row>
    <row r="51" spans="1:8">
      <c r="A51" s="128"/>
      <c r="B51" s="15"/>
      <c r="C51" s="15"/>
      <c r="D51" s="15"/>
      <c r="E51" s="16"/>
      <c r="F51" s="17" t="s">
        <v>367</v>
      </c>
      <c r="G51" s="18">
        <f>$G$9</f>
        <v>0.21378112315270936</v>
      </c>
      <c r="H51" s="129">
        <f>ROUND(H50*G51,2)</f>
        <v>14.38</v>
      </c>
    </row>
    <row r="52" spans="1:8">
      <c r="A52" s="130"/>
      <c r="B52" s="19"/>
      <c r="C52" s="19"/>
      <c r="D52" s="19"/>
      <c r="E52" s="20"/>
      <c r="F52" s="20"/>
      <c r="G52" s="21" t="s">
        <v>368</v>
      </c>
      <c r="H52" s="131">
        <f>H50+H51</f>
        <v>81.668066999999994</v>
      </c>
    </row>
    <row r="53" spans="1:8">
      <c r="A53" s="132"/>
      <c r="B53" s="22"/>
      <c r="C53" s="22"/>
      <c r="D53" s="22"/>
      <c r="E53" s="23" t="str">
        <f>A40</f>
        <v>CPU-11</v>
      </c>
      <c r="F53" s="400" t="s">
        <v>322</v>
      </c>
      <c r="G53" s="401"/>
      <c r="H53" s="133">
        <f>H52</f>
        <v>81.668066999999994</v>
      </c>
    </row>
    <row r="54" spans="1:8">
      <c r="A54" s="119"/>
      <c r="H54" s="120"/>
    </row>
    <row r="55" spans="1:8">
      <c r="A55" s="408" t="s">
        <v>135</v>
      </c>
      <c r="B55" s="398" t="s">
        <v>22</v>
      </c>
      <c r="C55" s="398" t="s">
        <v>369</v>
      </c>
      <c r="D55" s="405" t="s">
        <v>394</v>
      </c>
      <c r="E55" s="398" t="s">
        <v>357</v>
      </c>
      <c r="F55" s="394" t="s">
        <v>358</v>
      </c>
      <c r="G55" s="394" t="s">
        <v>359</v>
      </c>
      <c r="H55" s="396" t="s">
        <v>315</v>
      </c>
    </row>
    <row r="56" spans="1:8">
      <c r="A56" s="409"/>
      <c r="B56" s="399"/>
      <c r="C56" s="399"/>
      <c r="D56" s="404"/>
      <c r="E56" s="399"/>
      <c r="F56" s="395"/>
      <c r="G56" s="395"/>
      <c r="H56" s="397"/>
    </row>
    <row r="57" spans="1:8">
      <c r="A57" s="125" t="s">
        <v>343</v>
      </c>
      <c r="B57" s="12" t="s">
        <v>375</v>
      </c>
      <c r="C57" s="12">
        <v>93358</v>
      </c>
      <c r="D57" s="24" t="s">
        <v>385</v>
      </c>
      <c r="E57" s="12" t="s">
        <v>77</v>
      </c>
      <c r="F57" s="13">
        <v>0.2</v>
      </c>
      <c r="G57" s="13">
        <v>74.33</v>
      </c>
      <c r="H57" s="124">
        <f t="shared" ref="H57:H66" si="2">F57*G57</f>
        <v>14.866</v>
      </c>
    </row>
    <row r="58" spans="1:8" ht="22.5">
      <c r="A58" s="125" t="s">
        <v>343</v>
      </c>
      <c r="B58" s="12" t="s">
        <v>375</v>
      </c>
      <c r="C58" s="12">
        <v>94964</v>
      </c>
      <c r="D58" s="24" t="s">
        <v>376</v>
      </c>
      <c r="E58" s="12" t="s">
        <v>77</v>
      </c>
      <c r="F58" s="13">
        <v>0.2</v>
      </c>
      <c r="G58" s="13">
        <v>449.17</v>
      </c>
      <c r="H58" s="124">
        <f t="shared" si="2"/>
        <v>89.834000000000003</v>
      </c>
    </row>
    <row r="59" spans="1:8">
      <c r="A59" s="123" t="s">
        <v>334</v>
      </c>
      <c r="B59" s="12" t="s">
        <v>26</v>
      </c>
      <c r="C59" s="12">
        <v>863</v>
      </c>
      <c r="D59" s="24" t="s">
        <v>386</v>
      </c>
      <c r="E59" s="12" t="s">
        <v>94</v>
      </c>
      <c r="F59" s="13">
        <v>9</v>
      </c>
      <c r="G59" s="288">
        <v>39</v>
      </c>
      <c r="H59" s="124">
        <f t="shared" si="2"/>
        <v>351</v>
      </c>
    </row>
    <row r="60" spans="1:8">
      <c r="A60" s="123" t="s">
        <v>334</v>
      </c>
      <c r="B60" s="12" t="s">
        <v>26</v>
      </c>
      <c r="C60" s="12">
        <v>39746</v>
      </c>
      <c r="D60" s="24" t="s">
        <v>391</v>
      </c>
      <c r="E60" s="12" t="s">
        <v>14</v>
      </c>
      <c r="F60" s="13">
        <v>4</v>
      </c>
      <c r="G60" s="288">
        <v>294.86</v>
      </c>
      <c r="H60" s="124">
        <f t="shared" si="2"/>
        <v>1179.44</v>
      </c>
    </row>
    <row r="61" spans="1:8" ht="22.5">
      <c r="A61" s="123" t="s">
        <v>334</v>
      </c>
      <c r="B61" s="12" t="s">
        <v>30</v>
      </c>
      <c r="C61" s="12">
        <v>6828</v>
      </c>
      <c r="D61" s="24" t="s">
        <v>392</v>
      </c>
      <c r="E61" s="12" t="s">
        <v>14</v>
      </c>
      <c r="F61" s="13">
        <v>1</v>
      </c>
      <c r="G61" s="288">
        <v>2679.51</v>
      </c>
      <c r="H61" s="124">
        <f t="shared" si="2"/>
        <v>2679.51</v>
      </c>
    </row>
    <row r="62" spans="1:8">
      <c r="A62" s="125" t="s">
        <v>343</v>
      </c>
      <c r="B62" s="12" t="s">
        <v>26</v>
      </c>
      <c r="C62" s="12">
        <v>88264</v>
      </c>
      <c r="D62" s="24" t="s">
        <v>387</v>
      </c>
      <c r="E62" s="12" t="s">
        <v>319</v>
      </c>
      <c r="F62" s="13">
        <v>3.2631000000000001</v>
      </c>
      <c r="G62" s="288">
        <v>26.92</v>
      </c>
      <c r="H62" s="124">
        <f t="shared" si="2"/>
        <v>87.842652000000015</v>
      </c>
    </row>
    <row r="63" spans="1:8">
      <c r="A63" s="125" t="s">
        <v>343</v>
      </c>
      <c r="B63" s="12" t="s">
        <v>26</v>
      </c>
      <c r="C63" s="12">
        <v>88247</v>
      </c>
      <c r="D63" s="24" t="s">
        <v>388</v>
      </c>
      <c r="E63" s="12" t="s">
        <v>319</v>
      </c>
      <c r="F63" s="13">
        <v>1.1691</v>
      </c>
      <c r="G63" s="288">
        <v>21.22</v>
      </c>
      <c r="H63" s="124">
        <f t="shared" si="2"/>
        <v>24.808301999999998</v>
      </c>
    </row>
    <row r="64" spans="1:8">
      <c r="A64" s="125" t="s">
        <v>334</v>
      </c>
      <c r="B64" s="12" t="s">
        <v>26</v>
      </c>
      <c r="C64" s="12">
        <v>21127</v>
      </c>
      <c r="D64" s="24" t="s">
        <v>389</v>
      </c>
      <c r="E64" s="12" t="s">
        <v>14</v>
      </c>
      <c r="F64" s="13">
        <v>1.4E-2</v>
      </c>
      <c r="G64" s="288">
        <v>3.3</v>
      </c>
      <c r="H64" s="124">
        <f t="shared" si="2"/>
        <v>4.6199999999999998E-2</v>
      </c>
    </row>
    <row r="65" spans="1:8" ht="33.75">
      <c r="A65" s="125" t="s">
        <v>334</v>
      </c>
      <c r="B65" s="12" t="s">
        <v>30</v>
      </c>
      <c r="C65" s="12">
        <v>11997</v>
      </c>
      <c r="D65" s="24" t="s">
        <v>390</v>
      </c>
      <c r="E65" s="12" t="s">
        <v>14</v>
      </c>
      <c r="F65" s="13">
        <v>4</v>
      </c>
      <c r="G65" s="13">
        <v>1187.5</v>
      </c>
      <c r="H65" s="124">
        <f t="shared" si="2"/>
        <v>4750</v>
      </c>
    </row>
    <row r="66" spans="1:8">
      <c r="A66" s="125" t="s">
        <v>343</v>
      </c>
      <c r="B66" s="12" t="s">
        <v>30</v>
      </c>
      <c r="C66" s="12">
        <v>2455</v>
      </c>
      <c r="D66" s="24" t="s">
        <v>393</v>
      </c>
      <c r="E66" s="12" t="s">
        <v>319</v>
      </c>
      <c r="F66" s="13">
        <v>1</v>
      </c>
      <c r="G66" s="13">
        <v>101.16</v>
      </c>
      <c r="H66" s="124">
        <f t="shared" si="2"/>
        <v>101.16</v>
      </c>
    </row>
    <row r="67" spans="1:8">
      <c r="A67" s="126"/>
      <c r="B67" s="14"/>
      <c r="C67" s="14"/>
      <c r="D67" s="14"/>
      <c r="E67" s="402" t="s">
        <v>320</v>
      </c>
      <c r="F67" s="402"/>
      <c r="G67" s="403"/>
      <c r="H67" s="127">
        <f>SUM(H57:H66)</f>
        <v>9278.5071540000008</v>
      </c>
    </row>
    <row r="68" spans="1:8">
      <c r="A68" s="128"/>
      <c r="B68" s="15"/>
      <c r="C68" s="15"/>
      <c r="D68" s="15"/>
      <c r="E68" s="16"/>
      <c r="F68" s="17" t="s">
        <v>367</v>
      </c>
      <c r="G68" s="18">
        <f>$G$9</f>
        <v>0.21378112315270936</v>
      </c>
      <c r="H68" s="129">
        <f>ROUND(H67*G68,2)</f>
        <v>1983.57</v>
      </c>
    </row>
    <row r="69" spans="1:8">
      <c r="A69" s="130"/>
      <c r="B69" s="19"/>
      <c r="C69" s="19"/>
      <c r="D69" s="19"/>
      <c r="E69" s="20"/>
      <c r="F69" s="20"/>
      <c r="G69" s="21" t="s">
        <v>368</v>
      </c>
      <c r="H69" s="131">
        <f>H67+H68</f>
        <v>11262.077154000001</v>
      </c>
    </row>
    <row r="70" spans="1:8">
      <c r="A70" s="132"/>
      <c r="B70" s="22"/>
      <c r="C70" s="22"/>
      <c r="D70" s="22"/>
      <c r="E70" s="23" t="str">
        <f>A55</f>
        <v>CPU-14</v>
      </c>
      <c r="F70" s="400" t="s">
        <v>322</v>
      </c>
      <c r="G70" s="401"/>
      <c r="H70" s="133">
        <f>H69</f>
        <v>11262.077154000001</v>
      </c>
    </row>
    <row r="71" spans="1:8">
      <c r="A71" s="119"/>
      <c r="H71" s="120"/>
    </row>
    <row r="72" spans="1:8">
      <c r="A72" s="408" t="s">
        <v>106</v>
      </c>
      <c r="B72" s="398" t="s">
        <v>22</v>
      </c>
      <c r="C72" s="398"/>
      <c r="D72" s="405" t="s">
        <v>395</v>
      </c>
      <c r="E72" s="398" t="s">
        <v>357</v>
      </c>
      <c r="F72" s="394" t="s">
        <v>358</v>
      </c>
      <c r="G72" s="394" t="s">
        <v>359</v>
      </c>
      <c r="H72" s="396" t="s">
        <v>315</v>
      </c>
    </row>
    <row r="73" spans="1:8">
      <c r="A73" s="409"/>
      <c r="B73" s="399"/>
      <c r="C73" s="399"/>
      <c r="D73" s="404" t="s">
        <v>373</v>
      </c>
      <c r="E73" s="399"/>
      <c r="F73" s="395"/>
      <c r="G73" s="395"/>
      <c r="H73" s="397"/>
    </row>
    <row r="74" spans="1:8">
      <c r="A74" s="123" t="s">
        <v>343</v>
      </c>
      <c r="B74" s="12" t="s">
        <v>30</v>
      </c>
      <c r="C74" s="12">
        <v>88262</v>
      </c>
      <c r="D74" s="24" t="s">
        <v>346</v>
      </c>
      <c r="E74" s="12" t="s">
        <v>319</v>
      </c>
      <c r="F74" s="13">
        <v>0.5</v>
      </c>
      <c r="G74" s="288">
        <v>26.39</v>
      </c>
      <c r="H74" s="124">
        <f t="shared" ref="H74:H81" si="3">F74*G74</f>
        <v>13.195</v>
      </c>
    </row>
    <row r="75" spans="1:8">
      <c r="A75" s="123" t="s">
        <v>343</v>
      </c>
      <c r="B75" s="12" t="s">
        <v>30</v>
      </c>
      <c r="C75" s="12">
        <v>88239</v>
      </c>
      <c r="D75" s="24" t="s">
        <v>374</v>
      </c>
      <c r="E75" s="12" t="s">
        <v>319</v>
      </c>
      <c r="F75" s="13">
        <v>0.5</v>
      </c>
      <c r="G75" s="288">
        <v>22.42</v>
      </c>
      <c r="H75" s="124">
        <f t="shared" si="3"/>
        <v>11.21</v>
      </c>
    </row>
    <row r="76" spans="1:8">
      <c r="A76" s="123" t="s">
        <v>334</v>
      </c>
      <c r="B76" s="12" t="s">
        <v>30</v>
      </c>
      <c r="C76" s="12">
        <v>1685</v>
      </c>
      <c r="D76" s="24" t="s">
        <v>396</v>
      </c>
      <c r="E76" s="12" t="s">
        <v>14</v>
      </c>
      <c r="F76" s="13">
        <v>12</v>
      </c>
      <c r="G76" s="288">
        <v>9.74</v>
      </c>
      <c r="H76" s="124">
        <f t="shared" si="3"/>
        <v>116.88</v>
      </c>
    </row>
    <row r="77" spans="1:8">
      <c r="A77" s="123" t="s">
        <v>343</v>
      </c>
      <c r="B77" s="12" t="s">
        <v>30</v>
      </c>
      <c r="C77" s="12">
        <v>10045</v>
      </c>
      <c r="D77" s="24" t="s">
        <v>397</v>
      </c>
      <c r="E77" s="12" t="s">
        <v>164</v>
      </c>
      <c r="F77" s="13">
        <v>0.8</v>
      </c>
      <c r="G77" s="288">
        <v>103.9</v>
      </c>
      <c r="H77" s="124">
        <f t="shared" si="3"/>
        <v>83.12</v>
      </c>
    </row>
    <row r="78" spans="1:8" ht="22.5">
      <c r="A78" s="123" t="s">
        <v>343</v>
      </c>
      <c r="B78" s="12" t="s">
        <v>375</v>
      </c>
      <c r="C78" s="12">
        <v>94964</v>
      </c>
      <c r="D78" s="24" t="s">
        <v>376</v>
      </c>
      <c r="E78" s="12" t="s">
        <v>77</v>
      </c>
      <c r="F78" s="13">
        <v>0.2</v>
      </c>
      <c r="G78" s="13">
        <v>449.17</v>
      </c>
      <c r="H78" s="124">
        <f t="shared" si="3"/>
        <v>89.834000000000003</v>
      </c>
    </row>
    <row r="79" spans="1:8">
      <c r="A79" s="123" t="s">
        <v>334</v>
      </c>
      <c r="B79" s="12" t="s">
        <v>26</v>
      </c>
      <c r="C79" s="12">
        <v>20205</v>
      </c>
      <c r="D79" s="24" t="s">
        <v>398</v>
      </c>
      <c r="E79" s="12" t="s">
        <v>94</v>
      </c>
      <c r="F79" s="13">
        <v>6</v>
      </c>
      <c r="G79" s="13">
        <v>31.79</v>
      </c>
      <c r="H79" s="124">
        <f t="shared" si="3"/>
        <v>190.74</v>
      </c>
    </row>
    <row r="80" spans="1:8">
      <c r="A80" s="123" t="s">
        <v>343</v>
      </c>
      <c r="B80" s="12" t="s">
        <v>26</v>
      </c>
      <c r="C80" s="12">
        <v>92763</v>
      </c>
      <c r="D80" s="24" t="s">
        <v>377</v>
      </c>
      <c r="E80" s="12" t="s">
        <v>169</v>
      </c>
      <c r="F80" s="13">
        <v>24</v>
      </c>
      <c r="G80" s="13">
        <v>12.44</v>
      </c>
      <c r="H80" s="124">
        <f t="shared" si="3"/>
        <v>298.56</v>
      </c>
    </row>
    <row r="81" spans="1:8">
      <c r="A81" s="123" t="s">
        <v>343</v>
      </c>
      <c r="B81" s="12" t="s">
        <v>26</v>
      </c>
      <c r="C81" s="12">
        <v>102213</v>
      </c>
      <c r="D81" s="24" t="s">
        <v>378</v>
      </c>
      <c r="E81" s="25" t="s">
        <v>40</v>
      </c>
      <c r="F81" s="13">
        <v>1.44</v>
      </c>
      <c r="G81" s="13">
        <v>18.91</v>
      </c>
      <c r="H81" s="124">
        <f t="shared" si="3"/>
        <v>27.230399999999999</v>
      </c>
    </row>
    <row r="82" spans="1:8">
      <c r="A82" s="126"/>
      <c r="B82" s="14"/>
      <c r="C82" s="14"/>
      <c r="D82" s="14"/>
      <c r="E82" s="402" t="s">
        <v>320</v>
      </c>
      <c r="F82" s="402"/>
      <c r="G82" s="403"/>
      <c r="H82" s="127">
        <f>SUM(H74:H81)</f>
        <v>830.76940000000002</v>
      </c>
    </row>
    <row r="83" spans="1:8">
      <c r="A83" s="128"/>
      <c r="B83" s="15"/>
      <c r="C83" s="15"/>
      <c r="D83" s="15"/>
      <c r="E83" s="16"/>
      <c r="F83" s="17" t="s">
        <v>367</v>
      </c>
      <c r="G83" s="18">
        <f>$G$9</f>
        <v>0.21378112315270936</v>
      </c>
      <c r="H83" s="129">
        <f>ROUND(H82*G83,2)</f>
        <v>177.6</v>
      </c>
    </row>
    <row r="84" spans="1:8">
      <c r="A84" s="130"/>
      <c r="B84" s="19"/>
      <c r="C84" s="19"/>
      <c r="D84" s="19"/>
      <c r="E84" s="20"/>
      <c r="F84" s="20"/>
      <c r="G84" s="21" t="s">
        <v>368</v>
      </c>
      <c r="H84" s="131">
        <f>H82+H83</f>
        <v>1008.3694</v>
      </c>
    </row>
    <row r="85" spans="1:8">
      <c r="A85" s="132"/>
      <c r="B85" s="22"/>
      <c r="C85" s="22"/>
      <c r="D85" s="22"/>
      <c r="E85" s="23" t="str">
        <f>A72</f>
        <v>CPU-16</v>
      </c>
      <c r="F85" s="400" t="s">
        <v>322</v>
      </c>
      <c r="G85" s="401"/>
      <c r="H85" s="133">
        <f>H84</f>
        <v>1008.3694</v>
      </c>
    </row>
    <row r="86" spans="1:8">
      <c r="A86" s="119"/>
      <c r="H86" s="120"/>
    </row>
    <row r="87" spans="1:8">
      <c r="A87" s="408" t="s">
        <v>134</v>
      </c>
      <c r="B87" s="398" t="s">
        <v>22</v>
      </c>
      <c r="C87" s="398"/>
      <c r="D87" s="405" t="s">
        <v>399</v>
      </c>
      <c r="E87" s="398" t="s">
        <v>357</v>
      </c>
      <c r="F87" s="394" t="s">
        <v>358</v>
      </c>
      <c r="G87" s="394" t="s">
        <v>359</v>
      </c>
      <c r="H87" s="396" t="s">
        <v>315</v>
      </c>
    </row>
    <row r="88" spans="1:8">
      <c r="A88" s="409"/>
      <c r="B88" s="399"/>
      <c r="C88" s="399"/>
      <c r="D88" s="404" t="s">
        <v>373</v>
      </c>
      <c r="E88" s="399"/>
      <c r="F88" s="395"/>
      <c r="G88" s="395"/>
      <c r="H88" s="397"/>
    </row>
    <row r="89" spans="1:8" ht="22.5">
      <c r="A89" s="123" t="s">
        <v>343</v>
      </c>
      <c r="B89" s="12" t="s">
        <v>30</v>
      </c>
      <c r="C89" s="12">
        <v>2657</v>
      </c>
      <c r="D89" s="24" t="s">
        <v>400</v>
      </c>
      <c r="E89" s="12" t="s">
        <v>145</v>
      </c>
      <c r="F89" s="288">
        <v>0.05</v>
      </c>
      <c r="G89" s="13">
        <v>142.4</v>
      </c>
      <c r="H89" s="124">
        <f>F89*G89</f>
        <v>7.120000000000001</v>
      </c>
    </row>
    <row r="90" spans="1:8" ht="22.5">
      <c r="A90" s="123" t="s">
        <v>343</v>
      </c>
      <c r="B90" s="12" t="s">
        <v>375</v>
      </c>
      <c r="C90" s="12">
        <v>97086</v>
      </c>
      <c r="D90" s="24" t="s">
        <v>401</v>
      </c>
      <c r="E90" s="12" t="s">
        <v>46</v>
      </c>
      <c r="F90" s="288">
        <v>0.08</v>
      </c>
      <c r="G90" s="13">
        <v>133.22</v>
      </c>
      <c r="H90" s="124">
        <f>F90*G90</f>
        <v>10.6576</v>
      </c>
    </row>
    <row r="91" spans="1:8" ht="22.5">
      <c r="A91" s="123" t="s">
        <v>343</v>
      </c>
      <c r="B91" s="12" t="s">
        <v>375</v>
      </c>
      <c r="C91" s="12">
        <v>97087</v>
      </c>
      <c r="D91" s="24" t="s">
        <v>402</v>
      </c>
      <c r="E91" s="12" t="s">
        <v>46</v>
      </c>
      <c r="F91" s="288">
        <v>1</v>
      </c>
      <c r="G91" s="13">
        <v>2.66</v>
      </c>
      <c r="H91" s="124">
        <f>F91*G91</f>
        <v>2.66</v>
      </c>
    </row>
    <row r="92" spans="1:8" ht="22.5">
      <c r="A92" s="123" t="s">
        <v>343</v>
      </c>
      <c r="B92" s="12" t="s">
        <v>375</v>
      </c>
      <c r="C92" s="12">
        <v>97089</v>
      </c>
      <c r="D92" s="24" t="s">
        <v>403</v>
      </c>
      <c r="E92" s="12" t="s">
        <v>169</v>
      </c>
      <c r="F92" s="288">
        <v>1.8</v>
      </c>
      <c r="G92" s="13">
        <v>21.57</v>
      </c>
      <c r="H92" s="124">
        <f>F92*G92</f>
        <v>38.826000000000001</v>
      </c>
    </row>
    <row r="93" spans="1:8" ht="22.5">
      <c r="A93" s="123" t="s">
        <v>343</v>
      </c>
      <c r="B93" s="12" t="s">
        <v>375</v>
      </c>
      <c r="C93" s="12">
        <v>94964</v>
      </c>
      <c r="D93" s="24" t="s">
        <v>376</v>
      </c>
      <c r="E93" s="12" t="s">
        <v>77</v>
      </c>
      <c r="F93" s="288">
        <v>0.1</v>
      </c>
      <c r="G93" s="13">
        <v>449.17</v>
      </c>
      <c r="H93" s="124">
        <f>F93*G93</f>
        <v>44.917000000000002</v>
      </c>
    </row>
    <row r="94" spans="1:8">
      <c r="A94" s="126"/>
      <c r="B94" s="14"/>
      <c r="C94" s="14"/>
      <c r="D94" s="14"/>
      <c r="E94" s="402" t="s">
        <v>320</v>
      </c>
      <c r="F94" s="402"/>
      <c r="G94" s="403"/>
      <c r="H94" s="127">
        <f>SUM(H89:H93)</f>
        <v>104.1806</v>
      </c>
    </row>
    <row r="95" spans="1:8">
      <c r="A95" s="128"/>
      <c r="B95" s="15"/>
      <c r="C95" s="15"/>
      <c r="D95" s="15"/>
      <c r="E95" s="16"/>
      <c r="F95" s="17" t="s">
        <v>367</v>
      </c>
      <c r="G95" s="18">
        <f>$G$9</f>
        <v>0.21378112315270936</v>
      </c>
      <c r="H95" s="129">
        <f>ROUND(H94*G95,2)</f>
        <v>22.27</v>
      </c>
    </row>
    <row r="96" spans="1:8">
      <c r="A96" s="130"/>
      <c r="B96" s="19"/>
      <c r="C96" s="19"/>
      <c r="D96" s="19"/>
      <c r="E96" s="20"/>
      <c r="F96" s="20"/>
      <c r="G96" s="21" t="s">
        <v>368</v>
      </c>
      <c r="H96" s="131">
        <f>H94+H95</f>
        <v>126.45059999999999</v>
      </c>
    </row>
    <row r="97" spans="1:8">
      <c r="A97" s="132"/>
      <c r="B97" s="22"/>
      <c r="C97" s="22"/>
      <c r="D97" s="22"/>
      <c r="E97" s="23" t="str">
        <f>A87</f>
        <v>CPU-18</v>
      </c>
      <c r="F97" s="400" t="s">
        <v>322</v>
      </c>
      <c r="G97" s="401"/>
      <c r="H97" s="133">
        <f>H96</f>
        <v>126.45059999999999</v>
      </c>
    </row>
  </sheetData>
  <mergeCells count="71">
    <mergeCell ref="C1:G1"/>
    <mergeCell ref="C2:G2"/>
    <mergeCell ref="C3:G3"/>
    <mergeCell ref="A5:G5"/>
    <mergeCell ref="A7:H7"/>
    <mergeCell ref="E9:F9"/>
    <mergeCell ref="G9:H9"/>
    <mergeCell ref="E10:F10"/>
    <mergeCell ref="G10:H10"/>
    <mergeCell ref="B11:D11"/>
    <mergeCell ref="E11:H11"/>
    <mergeCell ref="E24:G24"/>
    <mergeCell ref="F27:G27"/>
    <mergeCell ref="B14:B15"/>
    <mergeCell ref="E14:E15"/>
    <mergeCell ref="G14:G15"/>
    <mergeCell ref="E35:G35"/>
    <mergeCell ref="E50:G50"/>
    <mergeCell ref="F53:G53"/>
    <mergeCell ref="F85:G85"/>
    <mergeCell ref="E67:G67"/>
    <mergeCell ref="G55:G56"/>
    <mergeCell ref="F38:G38"/>
    <mergeCell ref="F97:G97"/>
    <mergeCell ref="A14:A15"/>
    <mergeCell ref="A29:A30"/>
    <mergeCell ref="A40:A41"/>
    <mergeCell ref="A55:A56"/>
    <mergeCell ref="A72:A73"/>
    <mergeCell ref="A87:A88"/>
    <mergeCell ref="F70:G70"/>
    <mergeCell ref="B29:B30"/>
    <mergeCell ref="B40:B41"/>
    <mergeCell ref="B55:B56"/>
    <mergeCell ref="B72:B73"/>
    <mergeCell ref="B87:B88"/>
    <mergeCell ref="C14:C15"/>
    <mergeCell ref="C29:C30"/>
    <mergeCell ref="C40:C41"/>
    <mergeCell ref="C55:C56"/>
    <mergeCell ref="C72:C73"/>
    <mergeCell ref="C87:C88"/>
    <mergeCell ref="D14:D15"/>
    <mergeCell ref="D29:D30"/>
    <mergeCell ref="D40:D41"/>
    <mergeCell ref="D55:D56"/>
    <mergeCell ref="D72:D73"/>
    <mergeCell ref="D87:D88"/>
    <mergeCell ref="G87:G88"/>
    <mergeCell ref="E55:E56"/>
    <mergeCell ref="E72:E73"/>
    <mergeCell ref="E82:G82"/>
    <mergeCell ref="E94:G94"/>
    <mergeCell ref="E87:E88"/>
    <mergeCell ref="G72:G73"/>
    <mergeCell ref="F14:F15"/>
    <mergeCell ref="F29:F30"/>
    <mergeCell ref="F40:F41"/>
    <mergeCell ref="F55:F56"/>
    <mergeCell ref="F72:F73"/>
    <mergeCell ref="F87:F88"/>
    <mergeCell ref="E29:E30"/>
    <mergeCell ref="E40:E41"/>
    <mergeCell ref="H14:H15"/>
    <mergeCell ref="H29:H30"/>
    <mergeCell ref="H40:H41"/>
    <mergeCell ref="H55:H56"/>
    <mergeCell ref="H72:H73"/>
    <mergeCell ref="H87:H88"/>
    <mergeCell ref="G29:G30"/>
    <mergeCell ref="G40:G41"/>
  </mergeCells>
  <pageMargins left="0.511811024" right="0.511811024" top="0.78740157499999996" bottom="0.78740157499999996" header="0.31496062000000002" footer="0.31496062000000002"/>
  <pageSetup paperSize="9" scale="4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B2:P37"/>
  <sheetViews>
    <sheetView view="pageBreakPreview" topLeftCell="A4" zoomScaleNormal="100" zoomScaleSheetLayoutView="100" workbookViewId="0">
      <selection activeCell="C4" sqref="C4:I4"/>
    </sheetView>
  </sheetViews>
  <sheetFormatPr defaultColWidth="9" defaultRowHeight="12.75"/>
  <cols>
    <col min="2" max="2" width="15.42578125" customWidth="1"/>
    <col min="3" max="3" width="48.28515625" customWidth="1"/>
    <col min="4" max="4" width="9.5703125"/>
  </cols>
  <sheetData>
    <row r="2" spans="2:16" ht="20.25">
      <c r="B2" s="486" t="s">
        <v>520</v>
      </c>
      <c r="C2" s="487"/>
      <c r="D2" s="487"/>
      <c r="E2" s="487"/>
      <c r="F2" s="487"/>
      <c r="G2" s="487"/>
      <c r="H2" s="487"/>
      <c r="I2" s="488"/>
    </row>
    <row r="3" spans="2:16" ht="20.25">
      <c r="B3" s="489"/>
      <c r="C3" s="490"/>
      <c r="D3" s="490"/>
      <c r="E3" s="490"/>
      <c r="F3" s="490"/>
      <c r="G3" s="490"/>
      <c r="H3" s="490"/>
      <c r="I3" s="491"/>
    </row>
    <row r="4" spans="2:16" ht="71.099999999999994" customHeight="1">
      <c r="B4" s="64" t="s">
        <v>404</v>
      </c>
      <c r="C4" s="391" t="s">
        <v>5</v>
      </c>
      <c r="D4" s="392"/>
      <c r="E4" s="392"/>
      <c r="F4" s="392"/>
      <c r="G4" s="392"/>
      <c r="H4" s="392"/>
      <c r="I4" s="393"/>
      <c r="J4" s="290"/>
      <c r="K4" s="290"/>
    </row>
    <row r="5" spans="2:16" ht="15.75">
      <c r="B5" s="65"/>
      <c r="C5" s="492"/>
      <c r="D5" s="492"/>
      <c r="E5" s="492"/>
      <c r="F5" s="492"/>
      <c r="G5" s="492"/>
      <c r="H5" s="492"/>
      <c r="I5" s="493"/>
    </row>
    <row r="6" spans="2:16" ht="15">
      <c r="B6" s="494" t="s">
        <v>518</v>
      </c>
      <c r="C6" s="480"/>
      <c r="D6" s="480"/>
      <c r="E6" s="480"/>
      <c r="F6" s="480"/>
      <c r="G6" s="480"/>
      <c r="H6" s="480"/>
      <c r="I6" s="481"/>
    </row>
    <row r="7" spans="2:16" ht="15">
      <c r="B7" s="66"/>
      <c r="C7" s="67"/>
      <c r="D7" s="67"/>
      <c r="E7" s="67"/>
      <c r="F7" s="67"/>
      <c r="G7" s="68"/>
      <c r="H7" s="68"/>
      <c r="I7" s="103"/>
      <c r="M7" s="478" t="s">
        <v>405</v>
      </c>
      <c r="N7" s="478"/>
      <c r="O7" s="478"/>
      <c r="P7" s="478"/>
    </row>
    <row r="8" spans="2:16" ht="15.75" customHeight="1">
      <c r="B8" s="479" t="s">
        <v>519</v>
      </c>
      <c r="C8" s="480"/>
      <c r="D8" s="481"/>
      <c r="E8" s="67"/>
      <c r="F8" s="425" t="s">
        <v>406</v>
      </c>
      <c r="G8" s="426"/>
      <c r="H8" s="426"/>
      <c r="I8" s="427"/>
      <c r="M8" s="425" t="s">
        <v>406</v>
      </c>
      <c r="N8" s="426"/>
      <c r="O8" s="426"/>
      <c r="P8" s="427"/>
    </row>
    <row r="9" spans="2:16">
      <c r="B9" s="447" t="s">
        <v>10</v>
      </c>
      <c r="C9" s="451" t="s">
        <v>407</v>
      </c>
      <c r="D9" s="455" t="s">
        <v>408</v>
      </c>
      <c r="E9" s="69"/>
      <c r="F9" s="428"/>
      <c r="G9" s="429"/>
      <c r="H9" s="429"/>
      <c r="I9" s="430"/>
      <c r="M9" s="428"/>
      <c r="N9" s="429"/>
      <c r="O9" s="429"/>
      <c r="P9" s="430"/>
    </row>
    <row r="10" spans="2:16">
      <c r="B10" s="448"/>
      <c r="C10" s="452"/>
      <c r="D10" s="456"/>
      <c r="E10" s="69"/>
      <c r="F10" s="70" t="s">
        <v>409</v>
      </c>
      <c r="G10" s="482" t="s">
        <v>410</v>
      </c>
      <c r="H10" s="483"/>
      <c r="I10" s="105" t="s">
        <v>411</v>
      </c>
      <c r="M10" s="70" t="s">
        <v>409</v>
      </c>
      <c r="N10" s="482" t="s">
        <v>410</v>
      </c>
      <c r="O10" s="483"/>
      <c r="P10" s="105" t="s">
        <v>411</v>
      </c>
    </row>
    <row r="11" spans="2:16" ht="14.25">
      <c r="B11" s="484"/>
      <c r="C11" s="485"/>
      <c r="D11" s="485"/>
      <c r="E11" s="71"/>
      <c r="F11" s="71"/>
      <c r="G11" s="68"/>
      <c r="H11" s="68"/>
      <c r="I11" s="103"/>
      <c r="M11" s="71"/>
      <c r="N11" s="68"/>
      <c r="O11" s="68"/>
      <c r="P11" s="103"/>
    </row>
    <row r="12" spans="2:16" ht="14.25">
      <c r="B12" s="72" t="s">
        <v>412</v>
      </c>
      <c r="C12" s="461" t="s">
        <v>413</v>
      </c>
      <c r="D12" s="462"/>
      <c r="E12" s="73"/>
      <c r="F12" s="74"/>
      <c r="G12" s="476"/>
      <c r="H12" s="477"/>
      <c r="I12" s="106"/>
      <c r="M12" s="74"/>
      <c r="N12" s="476"/>
      <c r="O12" s="477"/>
      <c r="P12" s="106"/>
    </row>
    <row r="13" spans="2:16">
      <c r="B13" s="75" t="s">
        <v>414</v>
      </c>
      <c r="C13" s="76" t="s">
        <v>415</v>
      </c>
      <c r="D13" s="291">
        <v>0</v>
      </c>
      <c r="E13" s="78"/>
      <c r="F13" s="79">
        <v>8.0000000000000002E-3</v>
      </c>
      <c r="G13" s="470">
        <v>8.0000000000000002E-3</v>
      </c>
      <c r="H13" s="471"/>
      <c r="I13" s="107">
        <v>0.01</v>
      </c>
      <c r="M13" s="108">
        <v>3.2000000000000002E-3</v>
      </c>
      <c r="N13" s="470">
        <v>4.0000000000000001E-3</v>
      </c>
      <c r="O13" s="471"/>
      <c r="P13" s="107">
        <v>7.4000000000000003E-3</v>
      </c>
    </row>
    <row r="14" spans="2:16">
      <c r="B14" s="75" t="s">
        <v>416</v>
      </c>
      <c r="C14" s="76" t="s">
        <v>417</v>
      </c>
      <c r="D14" s="291">
        <v>0</v>
      </c>
      <c r="E14" s="78"/>
      <c r="F14" s="79">
        <v>9.7000000000000003E-3</v>
      </c>
      <c r="G14" s="470">
        <v>1.2699999999999999E-2</v>
      </c>
      <c r="H14" s="471"/>
      <c r="I14" s="107">
        <v>1.2699999999999999E-2</v>
      </c>
      <c r="M14" s="108">
        <v>5.0000000000000001E-3</v>
      </c>
      <c r="N14" s="470">
        <v>5.5999999999999999E-3</v>
      </c>
      <c r="O14" s="471"/>
      <c r="P14" s="107">
        <v>9.7000000000000003E-3</v>
      </c>
    </row>
    <row r="15" spans="2:16">
      <c r="B15" s="75" t="s">
        <v>418</v>
      </c>
      <c r="C15" s="76" t="s">
        <v>419</v>
      </c>
      <c r="D15" s="77">
        <v>6.0000000000000001E-3</v>
      </c>
      <c r="E15" s="78"/>
      <c r="F15" s="79">
        <v>5.8999999999999999E-3</v>
      </c>
      <c r="G15" s="470">
        <v>1.23E-2</v>
      </c>
      <c r="H15" s="471"/>
      <c r="I15" s="107">
        <v>1.3899999999999999E-2</v>
      </c>
      <c r="M15" s="79">
        <v>1.0200000000000001E-2</v>
      </c>
      <c r="N15" s="470">
        <v>1.11E-2</v>
      </c>
      <c r="O15" s="471"/>
      <c r="P15" s="107">
        <v>1.21E-2</v>
      </c>
    </row>
    <row r="16" spans="2:16">
      <c r="B16" s="75" t="s">
        <v>420</v>
      </c>
      <c r="C16" s="76" t="s">
        <v>421</v>
      </c>
      <c r="D16" s="77">
        <v>3.2000000000000001E-2</v>
      </c>
      <c r="E16" s="78"/>
      <c r="F16" s="79">
        <v>0.03</v>
      </c>
      <c r="G16" s="470">
        <v>0.04</v>
      </c>
      <c r="H16" s="471"/>
      <c r="I16" s="107">
        <v>5.5E-2</v>
      </c>
      <c r="M16" s="79">
        <v>3.7999999999999999E-2</v>
      </c>
      <c r="N16" s="470">
        <v>4.0099999999999997E-2</v>
      </c>
      <c r="O16" s="471"/>
      <c r="P16" s="107">
        <v>4.6699999999999998E-2</v>
      </c>
    </row>
    <row r="17" spans="2:16">
      <c r="B17" s="468" t="s">
        <v>422</v>
      </c>
      <c r="C17" s="469"/>
      <c r="D17" s="80">
        <f>SUM(D13:D16)</f>
        <v>3.7999999999999999E-2</v>
      </c>
      <c r="E17" s="81"/>
      <c r="F17" s="82"/>
      <c r="G17" s="472"/>
      <c r="H17" s="473"/>
      <c r="I17" s="109"/>
      <c r="M17" s="82"/>
      <c r="N17" s="472"/>
      <c r="O17" s="473"/>
      <c r="P17" s="109"/>
    </row>
    <row r="18" spans="2:16">
      <c r="B18" s="459"/>
      <c r="C18" s="460"/>
      <c r="D18" s="460"/>
      <c r="E18" s="83"/>
      <c r="F18" s="78"/>
      <c r="G18" s="78"/>
      <c r="H18" s="78"/>
      <c r="I18" s="110"/>
      <c r="M18" s="78"/>
      <c r="N18" s="78"/>
      <c r="O18" s="78"/>
      <c r="P18" s="110"/>
    </row>
    <row r="19" spans="2:16">
      <c r="B19" s="72" t="s">
        <v>423</v>
      </c>
      <c r="C19" s="461" t="s">
        <v>424</v>
      </c>
      <c r="D19" s="462"/>
      <c r="E19" s="73"/>
      <c r="F19" s="84"/>
      <c r="G19" s="474"/>
      <c r="H19" s="475"/>
      <c r="I19" s="111"/>
      <c r="M19" s="84"/>
      <c r="N19" s="474"/>
      <c r="O19" s="475"/>
      <c r="P19" s="111"/>
    </row>
    <row r="20" spans="2:16">
      <c r="B20" s="75" t="s">
        <v>425</v>
      </c>
      <c r="C20" s="76" t="s">
        <v>426</v>
      </c>
      <c r="D20" s="77">
        <v>6.8000000000000005E-2</v>
      </c>
      <c r="E20" s="78"/>
      <c r="F20" s="79">
        <v>6.1600000000000002E-2</v>
      </c>
      <c r="G20" s="470">
        <v>7.3999999999999996E-2</v>
      </c>
      <c r="H20" s="471"/>
      <c r="I20" s="107">
        <v>8.9599999999999999E-2</v>
      </c>
      <c r="M20" s="79">
        <v>6.6400000000000001E-2</v>
      </c>
      <c r="N20" s="470">
        <v>7.2999999999999995E-2</v>
      </c>
      <c r="O20" s="471"/>
      <c r="P20" s="107">
        <v>8.6900000000000005E-2</v>
      </c>
    </row>
    <row r="21" spans="2:16">
      <c r="B21" s="468" t="s">
        <v>427</v>
      </c>
      <c r="C21" s="469"/>
      <c r="D21" s="80">
        <f>SUM(D20)</f>
        <v>6.8000000000000005E-2</v>
      </c>
      <c r="E21" s="81"/>
      <c r="F21" s="82"/>
      <c r="G21" s="472"/>
      <c r="H21" s="473"/>
      <c r="I21" s="109"/>
      <c r="M21" s="82"/>
      <c r="N21" s="472"/>
      <c r="O21" s="473"/>
      <c r="P21" s="109"/>
    </row>
    <row r="22" spans="2:16">
      <c r="B22" s="459"/>
      <c r="C22" s="460"/>
      <c r="D22" s="460"/>
      <c r="E22" s="83"/>
      <c r="F22" s="78"/>
      <c r="G22" s="78"/>
      <c r="H22" s="78"/>
      <c r="I22" s="110"/>
    </row>
    <row r="23" spans="2:16" ht="12.75" customHeight="1">
      <c r="B23" s="72" t="s">
        <v>428</v>
      </c>
      <c r="C23" s="461" t="s">
        <v>429</v>
      </c>
      <c r="D23" s="462"/>
      <c r="E23" s="73"/>
      <c r="F23" s="463" t="s">
        <v>430</v>
      </c>
      <c r="G23" s="464"/>
      <c r="H23" s="464"/>
      <c r="I23" s="465"/>
    </row>
    <row r="24" spans="2:16" ht="12.75" customHeight="1">
      <c r="B24" s="75" t="s">
        <v>431</v>
      </c>
      <c r="C24" s="76" t="s">
        <v>432</v>
      </c>
      <c r="D24" s="77">
        <v>6.4999999999999997E-3</v>
      </c>
      <c r="E24" s="78"/>
      <c r="F24" s="421" t="s">
        <v>433</v>
      </c>
      <c r="G24" s="431" t="s">
        <v>434</v>
      </c>
      <c r="H24" s="432"/>
      <c r="I24" s="423" t="s">
        <v>435</v>
      </c>
    </row>
    <row r="25" spans="2:16">
      <c r="B25" s="75" t="s">
        <v>436</v>
      </c>
      <c r="C25" s="76" t="s">
        <v>308</v>
      </c>
      <c r="D25" s="77">
        <v>0.03</v>
      </c>
      <c r="E25" s="78"/>
      <c r="F25" s="422"/>
      <c r="G25" s="433"/>
      <c r="H25" s="434"/>
      <c r="I25" s="424"/>
    </row>
    <row r="26" spans="2:16">
      <c r="B26" s="449" t="s">
        <v>437</v>
      </c>
      <c r="C26" s="453" t="s">
        <v>438</v>
      </c>
      <c r="D26" s="457">
        <f>F27</f>
        <v>0.05</v>
      </c>
      <c r="E26" s="78"/>
      <c r="F26" s="87"/>
      <c r="G26" s="78"/>
      <c r="H26" s="78"/>
      <c r="I26" s="110"/>
    </row>
    <row r="27" spans="2:16">
      <c r="B27" s="450"/>
      <c r="C27" s="454"/>
      <c r="D27" s="458"/>
      <c r="E27" s="78"/>
      <c r="F27" s="88">
        <v>0.05</v>
      </c>
      <c r="G27" s="466">
        <v>0.6</v>
      </c>
      <c r="H27" s="467"/>
      <c r="I27" s="112">
        <f>F27*G27</f>
        <v>0.03</v>
      </c>
    </row>
    <row r="28" spans="2:16">
      <c r="B28" s="85" t="s">
        <v>439</v>
      </c>
      <c r="C28" s="89" t="s">
        <v>440</v>
      </c>
      <c r="D28" s="86"/>
      <c r="E28" s="78"/>
      <c r="F28" s="90"/>
      <c r="G28" s="90"/>
      <c r="H28" s="90"/>
      <c r="I28" s="113"/>
    </row>
    <row r="29" spans="2:16">
      <c r="B29" s="468" t="s">
        <v>441</v>
      </c>
      <c r="C29" s="469"/>
      <c r="D29" s="80">
        <f>SUM(D24:D28)</f>
        <v>8.6499999999999994E-2</v>
      </c>
      <c r="E29" s="81"/>
      <c r="F29" s="91"/>
      <c r="G29" s="91"/>
      <c r="H29" s="91"/>
      <c r="I29" s="114"/>
    </row>
    <row r="30" spans="2:16">
      <c r="B30" s="445"/>
      <c r="C30" s="446"/>
      <c r="D30" s="446"/>
      <c r="E30" s="92"/>
      <c r="F30" s="91"/>
      <c r="G30" s="91"/>
      <c r="H30" s="91"/>
      <c r="I30" s="114"/>
    </row>
    <row r="31" spans="2:16">
      <c r="B31" s="93"/>
      <c r="C31" s="73" t="s">
        <v>442</v>
      </c>
      <c r="D31" s="94"/>
      <c r="E31" s="94"/>
      <c r="F31" s="91"/>
      <c r="G31" s="91"/>
      <c r="H31" s="91"/>
      <c r="I31" s="114"/>
    </row>
    <row r="32" spans="2:16">
      <c r="B32" s="95"/>
      <c r="C32" s="92"/>
      <c r="D32" s="92"/>
      <c r="E32" s="92"/>
      <c r="F32" s="91"/>
      <c r="G32" s="91"/>
      <c r="H32" s="91"/>
      <c r="I32" s="114"/>
    </row>
    <row r="33" spans="2:9">
      <c r="B33" s="435" t="s">
        <v>443</v>
      </c>
      <c r="C33" s="436"/>
      <c r="D33" s="437"/>
      <c r="E33" s="96"/>
      <c r="F33" s="91"/>
      <c r="G33" s="91"/>
      <c r="H33" s="91"/>
      <c r="I33" s="114"/>
    </row>
    <row r="34" spans="2:9">
      <c r="B34" s="438"/>
      <c r="C34" s="439"/>
      <c r="D34" s="440"/>
      <c r="E34" s="96"/>
      <c r="F34" s="91"/>
      <c r="G34" s="91"/>
      <c r="H34" s="91"/>
      <c r="I34" s="114"/>
    </row>
    <row r="35" spans="2:9">
      <c r="B35" s="97"/>
      <c r="C35" s="98"/>
      <c r="D35" s="99"/>
      <c r="E35" s="99"/>
      <c r="F35" s="91"/>
      <c r="G35" s="91"/>
      <c r="H35" s="91"/>
      <c r="I35" s="114"/>
    </row>
    <row r="36" spans="2:9" ht="15.75">
      <c r="B36" s="441" t="s">
        <v>444</v>
      </c>
      <c r="C36" s="442"/>
      <c r="D36" s="419">
        <f>(((1+D16+D13+D14)*(1+D15)*(1+D21))/(1-D29))-1</f>
        <v>0.21378112315270936</v>
      </c>
      <c r="E36" s="100"/>
      <c r="F36" s="91"/>
      <c r="G36" s="91"/>
      <c r="H36" s="91"/>
      <c r="I36" s="114"/>
    </row>
    <row r="37" spans="2:9" ht="15.75">
      <c r="B37" s="443"/>
      <c r="C37" s="444"/>
      <c r="D37" s="420"/>
      <c r="E37" s="101"/>
      <c r="F37" s="102"/>
      <c r="G37" s="102"/>
      <c r="H37" s="102"/>
      <c r="I37" s="115"/>
    </row>
  </sheetData>
  <mergeCells count="53">
    <mergeCell ref="B2:I2"/>
    <mergeCell ref="B3:I3"/>
    <mergeCell ref="C4:I4"/>
    <mergeCell ref="C5:I5"/>
    <mergeCell ref="B6:I6"/>
    <mergeCell ref="M7:P7"/>
    <mergeCell ref="B8:D8"/>
    <mergeCell ref="G10:H10"/>
    <mergeCell ref="N10:O10"/>
    <mergeCell ref="B11:D11"/>
    <mergeCell ref="C12:D12"/>
    <mergeCell ref="G12:H12"/>
    <mergeCell ref="N12:O12"/>
    <mergeCell ref="G13:H13"/>
    <mergeCell ref="N13:O13"/>
    <mergeCell ref="G14:H14"/>
    <mergeCell ref="N14:O14"/>
    <mergeCell ref="G15:H15"/>
    <mergeCell ref="N15:O15"/>
    <mergeCell ref="G16:H16"/>
    <mergeCell ref="N16:O16"/>
    <mergeCell ref="N20:O20"/>
    <mergeCell ref="B21:C21"/>
    <mergeCell ref="G21:H21"/>
    <mergeCell ref="N21:O21"/>
    <mergeCell ref="B17:C17"/>
    <mergeCell ref="G17:H17"/>
    <mergeCell ref="N17:O17"/>
    <mergeCell ref="B18:D18"/>
    <mergeCell ref="C19:D19"/>
    <mergeCell ref="G19:H19"/>
    <mergeCell ref="N19:O19"/>
    <mergeCell ref="C23:D23"/>
    <mergeCell ref="F23:I23"/>
    <mergeCell ref="G27:H27"/>
    <mergeCell ref="B29:C29"/>
    <mergeCell ref="G20:H20"/>
    <mergeCell ref="D36:D37"/>
    <mergeCell ref="F24:F25"/>
    <mergeCell ref="I24:I25"/>
    <mergeCell ref="M8:P9"/>
    <mergeCell ref="F8:I9"/>
    <mergeCell ref="G24:H25"/>
    <mergeCell ref="B33:D34"/>
    <mergeCell ref="B36:C37"/>
    <mergeCell ref="B30:D30"/>
    <mergeCell ref="B9:B10"/>
    <mergeCell ref="B26:B27"/>
    <mergeCell ref="C9:C10"/>
    <mergeCell ref="C26:C27"/>
    <mergeCell ref="D9:D10"/>
    <mergeCell ref="D26:D27"/>
    <mergeCell ref="B22:D22"/>
  </mergeCells>
  <pageMargins left="0.511811024" right="0.511811024" top="0.78740157499999996" bottom="0.78740157499999996" header="0.31496062000000002" footer="0.31496062000000002"/>
  <pageSetup paperSize="9" scale="7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B2:G53"/>
  <sheetViews>
    <sheetView view="pageBreakPreview" zoomScaleNormal="100" zoomScaleSheetLayoutView="100" workbookViewId="0">
      <selection activeCell="B13" sqref="B13"/>
    </sheetView>
  </sheetViews>
  <sheetFormatPr defaultColWidth="9" defaultRowHeight="12.75"/>
  <cols>
    <col min="1" max="1" width="9" style="26"/>
    <col min="2" max="2" width="36.140625" style="26" customWidth="1"/>
    <col min="3" max="3" width="39.85546875" style="26" customWidth="1"/>
    <col min="4" max="4" width="16.7109375" style="26" hidden="1" customWidth="1"/>
    <col min="5" max="5" width="16.85546875" style="26" hidden="1" customWidth="1"/>
    <col min="6" max="6" width="13.140625" style="26" customWidth="1"/>
    <col min="7" max="7" width="16.85546875" style="26" customWidth="1"/>
    <col min="8" max="16384" width="9" style="26"/>
  </cols>
  <sheetData>
    <row r="2" spans="2:7">
      <c r="B2" s="27"/>
      <c r="C2" s="28"/>
      <c r="D2" s="28"/>
      <c r="E2" s="28"/>
      <c r="F2" s="28"/>
      <c r="G2" s="29"/>
    </row>
    <row r="3" spans="2:7">
      <c r="B3" s="30"/>
      <c r="C3" s="31"/>
      <c r="D3" s="31"/>
      <c r="E3" s="31"/>
      <c r="F3" s="31"/>
      <c r="G3" s="32"/>
    </row>
    <row r="4" spans="2:7">
      <c r="B4" s="30"/>
      <c r="C4" s="31"/>
      <c r="D4" s="31"/>
      <c r="E4" s="31"/>
      <c r="F4" s="31"/>
      <c r="G4" s="32"/>
    </row>
    <row r="5" spans="2:7">
      <c r="B5" s="30"/>
      <c r="C5" s="31"/>
      <c r="D5" s="31"/>
      <c r="E5" s="31"/>
      <c r="F5" s="31"/>
      <c r="G5" s="32"/>
    </row>
    <row r="6" spans="2:7">
      <c r="B6" s="30"/>
      <c r="C6" s="31"/>
      <c r="D6" s="31"/>
      <c r="E6" s="31"/>
      <c r="F6" s="31"/>
      <c r="G6" s="32"/>
    </row>
    <row r="7" spans="2:7">
      <c r="B7" s="33" t="s">
        <v>445</v>
      </c>
      <c r="C7" s="34"/>
      <c r="D7" s="35"/>
      <c r="E7" s="35"/>
      <c r="F7" s="35"/>
      <c r="G7" s="36"/>
    </row>
    <row r="8" spans="2:7">
      <c r="B8" s="33" t="s">
        <v>446</v>
      </c>
      <c r="C8" s="34"/>
      <c r="D8" s="35"/>
      <c r="E8" s="35"/>
      <c r="F8" s="35"/>
      <c r="G8" s="36"/>
    </row>
    <row r="9" spans="2:7">
      <c r="B9" s="33" t="s">
        <v>447</v>
      </c>
      <c r="C9" s="34"/>
      <c r="D9" s="35"/>
      <c r="E9" s="35"/>
      <c r="F9" s="35"/>
      <c r="G9" s="36"/>
    </row>
    <row r="10" spans="2:7">
      <c r="B10" s="495"/>
      <c r="C10" s="496"/>
      <c r="D10" s="496"/>
      <c r="E10" s="496"/>
      <c r="F10" s="496"/>
      <c r="G10" s="497"/>
    </row>
    <row r="11" spans="2:7">
      <c r="B11" s="498"/>
      <c r="C11" s="499"/>
      <c r="D11" s="499"/>
      <c r="E11" s="499"/>
      <c r="F11" s="499"/>
      <c r="G11" s="500"/>
    </row>
    <row r="12" spans="2:7" ht="15.75">
      <c r="B12" s="511" t="s">
        <v>522</v>
      </c>
      <c r="C12" s="504"/>
      <c r="D12" s="504"/>
      <c r="E12" s="504"/>
      <c r="F12" s="504"/>
      <c r="G12" s="505"/>
    </row>
    <row r="13" spans="2:7" ht="15.75">
      <c r="B13" s="38" t="s">
        <v>448</v>
      </c>
      <c r="C13" s="37"/>
      <c r="D13" s="512" t="s">
        <v>449</v>
      </c>
      <c r="E13" s="513"/>
      <c r="F13" s="512" t="s">
        <v>450</v>
      </c>
      <c r="G13" s="505"/>
    </row>
    <row r="14" spans="2:7" ht="15">
      <c r="B14" s="506"/>
      <c r="C14" s="507"/>
      <c r="D14" s="507"/>
      <c r="E14" s="507"/>
      <c r="F14" s="507"/>
      <c r="G14" s="508"/>
    </row>
    <row r="15" spans="2:7">
      <c r="B15" s="501"/>
      <c r="C15" s="502"/>
      <c r="D15" s="514" t="s">
        <v>451</v>
      </c>
      <c r="E15" s="514" t="s">
        <v>452</v>
      </c>
      <c r="F15" s="514" t="s">
        <v>451</v>
      </c>
      <c r="G15" s="515" t="s">
        <v>452</v>
      </c>
    </row>
    <row r="16" spans="2:7">
      <c r="B16" s="501"/>
      <c r="C16" s="502"/>
      <c r="D16" s="514"/>
      <c r="E16" s="514"/>
      <c r="F16" s="514"/>
      <c r="G16" s="515"/>
    </row>
    <row r="17" spans="2:7" ht="15.75">
      <c r="B17" s="503" t="s">
        <v>453</v>
      </c>
      <c r="C17" s="504"/>
      <c r="D17" s="504"/>
      <c r="E17" s="504"/>
      <c r="F17" s="504"/>
      <c r="G17" s="505"/>
    </row>
    <row r="18" spans="2:7" ht="15">
      <c r="B18" s="40" t="s">
        <v>414</v>
      </c>
      <c r="C18" s="41" t="s">
        <v>454</v>
      </c>
      <c r="D18" s="42">
        <v>0</v>
      </c>
      <c r="E18" s="42">
        <v>0</v>
      </c>
      <c r="F18" s="42">
        <v>20</v>
      </c>
      <c r="G18" s="43">
        <v>20</v>
      </c>
    </row>
    <row r="19" spans="2:7" ht="15">
      <c r="B19" s="44" t="s">
        <v>416</v>
      </c>
      <c r="C19" s="45" t="s">
        <v>455</v>
      </c>
      <c r="D19" s="46">
        <v>1.5</v>
      </c>
      <c r="E19" s="46">
        <v>1.5</v>
      </c>
      <c r="F19" s="46">
        <v>1.5</v>
      </c>
      <c r="G19" s="47">
        <v>1.5</v>
      </c>
    </row>
    <row r="20" spans="2:7" ht="15">
      <c r="B20" s="44" t="s">
        <v>418</v>
      </c>
      <c r="C20" s="45" t="s">
        <v>456</v>
      </c>
      <c r="D20" s="46">
        <v>1</v>
      </c>
      <c r="E20" s="46">
        <v>1</v>
      </c>
      <c r="F20" s="46">
        <v>1</v>
      </c>
      <c r="G20" s="47">
        <v>1</v>
      </c>
    </row>
    <row r="21" spans="2:7" ht="15">
      <c r="B21" s="44" t="s">
        <v>420</v>
      </c>
      <c r="C21" s="45" t="s">
        <v>457</v>
      </c>
      <c r="D21" s="46">
        <v>0.2</v>
      </c>
      <c r="E21" s="46">
        <v>0.2</v>
      </c>
      <c r="F21" s="46">
        <v>0.2</v>
      </c>
      <c r="G21" s="47">
        <v>0.2</v>
      </c>
    </row>
    <row r="22" spans="2:7" ht="15">
      <c r="B22" s="44" t="s">
        <v>458</v>
      </c>
      <c r="C22" s="45" t="s">
        <v>459</v>
      </c>
      <c r="D22" s="46">
        <v>0.6</v>
      </c>
      <c r="E22" s="46">
        <v>0.6</v>
      </c>
      <c r="F22" s="46">
        <v>0.6</v>
      </c>
      <c r="G22" s="47">
        <v>0.6</v>
      </c>
    </row>
    <row r="23" spans="2:7" ht="15">
      <c r="B23" s="44" t="s">
        <v>460</v>
      </c>
      <c r="C23" s="45" t="s">
        <v>461</v>
      </c>
      <c r="D23" s="46">
        <v>2.5</v>
      </c>
      <c r="E23" s="46">
        <v>2.5</v>
      </c>
      <c r="F23" s="46">
        <v>2.5</v>
      </c>
      <c r="G23" s="47">
        <v>2.5</v>
      </c>
    </row>
    <row r="24" spans="2:7" ht="15">
      <c r="B24" s="44" t="s">
        <v>462</v>
      </c>
      <c r="C24" s="45" t="s">
        <v>463</v>
      </c>
      <c r="D24" s="46">
        <v>3</v>
      </c>
      <c r="E24" s="46">
        <v>3</v>
      </c>
      <c r="F24" s="46">
        <v>3</v>
      </c>
      <c r="G24" s="47">
        <v>3</v>
      </c>
    </row>
    <row r="25" spans="2:7" ht="15">
      <c r="B25" s="44" t="s">
        <v>464</v>
      </c>
      <c r="C25" s="45" t="s">
        <v>465</v>
      </c>
      <c r="D25" s="46">
        <v>8</v>
      </c>
      <c r="E25" s="46">
        <v>8</v>
      </c>
      <c r="F25" s="46">
        <v>8</v>
      </c>
      <c r="G25" s="47">
        <v>8</v>
      </c>
    </row>
    <row r="26" spans="2:7" ht="15">
      <c r="B26" s="48" t="s">
        <v>466</v>
      </c>
      <c r="C26" s="49" t="s">
        <v>467</v>
      </c>
      <c r="D26" s="50">
        <v>0</v>
      </c>
      <c r="E26" s="50">
        <v>0</v>
      </c>
      <c r="F26" s="50">
        <v>0</v>
      </c>
      <c r="G26" s="51">
        <v>0</v>
      </c>
    </row>
    <row r="27" spans="2:7" ht="15.75">
      <c r="B27" s="39" t="s">
        <v>468</v>
      </c>
      <c r="C27" s="52" t="s">
        <v>304</v>
      </c>
      <c r="D27" s="53">
        <f>SUM(D18:D26)</f>
        <v>16.8</v>
      </c>
      <c r="E27" s="53">
        <f>SUM(E18:E26)</f>
        <v>16.8</v>
      </c>
      <c r="F27" s="53">
        <f>SUM(F18:F26)</f>
        <v>36.799999999999997</v>
      </c>
      <c r="G27" s="54">
        <f>SUM(G18:G26)</f>
        <v>36.799999999999997</v>
      </c>
    </row>
    <row r="28" spans="2:7" ht="15.75">
      <c r="B28" s="503" t="s">
        <v>469</v>
      </c>
      <c r="C28" s="504"/>
      <c r="D28" s="504"/>
      <c r="E28" s="504"/>
      <c r="F28" s="504"/>
      <c r="G28" s="505"/>
    </row>
    <row r="29" spans="2:7" ht="15">
      <c r="B29" s="40" t="s">
        <v>470</v>
      </c>
      <c r="C29" s="41" t="s">
        <v>471</v>
      </c>
      <c r="D29" s="42">
        <v>17.97</v>
      </c>
      <c r="E29" s="42" t="s">
        <v>472</v>
      </c>
      <c r="F29" s="42">
        <v>17.97</v>
      </c>
      <c r="G29" s="43" t="s">
        <v>472</v>
      </c>
    </row>
    <row r="30" spans="2:7" ht="15">
      <c r="B30" s="44" t="s">
        <v>473</v>
      </c>
      <c r="C30" s="45" t="s">
        <v>474</v>
      </c>
      <c r="D30" s="46">
        <v>3.96</v>
      </c>
      <c r="E30" s="46" t="s">
        <v>472</v>
      </c>
      <c r="F30" s="46">
        <v>3.96</v>
      </c>
      <c r="G30" s="47" t="s">
        <v>472</v>
      </c>
    </row>
    <row r="31" spans="2:7" ht="15">
      <c r="B31" s="44" t="s">
        <v>475</v>
      </c>
      <c r="C31" s="45" t="s">
        <v>476</v>
      </c>
      <c r="D31" s="46">
        <v>0.86</v>
      </c>
      <c r="E31" s="46">
        <v>0.66</v>
      </c>
      <c r="F31" s="46">
        <v>0.86</v>
      </c>
      <c r="G31" s="47">
        <v>0.66</v>
      </c>
    </row>
    <row r="32" spans="2:7" ht="15">
      <c r="B32" s="44" t="s">
        <v>477</v>
      </c>
      <c r="C32" s="45" t="s">
        <v>478</v>
      </c>
      <c r="D32" s="46">
        <v>10.97</v>
      </c>
      <c r="E32" s="46">
        <v>8.33</v>
      </c>
      <c r="F32" s="46">
        <v>10.97</v>
      </c>
      <c r="G32" s="47">
        <v>8.33</v>
      </c>
    </row>
    <row r="33" spans="2:7" ht="15">
      <c r="B33" s="44" t="s">
        <v>479</v>
      </c>
      <c r="C33" s="45" t="s">
        <v>480</v>
      </c>
      <c r="D33" s="46">
        <v>7.0000000000000007E-2</v>
      </c>
      <c r="E33" s="46">
        <v>0.06</v>
      </c>
      <c r="F33" s="46">
        <v>7.0000000000000007E-2</v>
      </c>
      <c r="G33" s="47">
        <v>0.06</v>
      </c>
    </row>
    <row r="34" spans="2:7" ht="15">
      <c r="B34" s="44" t="s">
        <v>481</v>
      </c>
      <c r="C34" s="45" t="s">
        <v>482</v>
      </c>
      <c r="D34" s="46">
        <v>0.73</v>
      </c>
      <c r="E34" s="46">
        <v>0.56000000000000005</v>
      </c>
      <c r="F34" s="46">
        <v>0.73</v>
      </c>
      <c r="G34" s="47">
        <v>0.56000000000000005</v>
      </c>
    </row>
    <row r="35" spans="2:7" ht="15">
      <c r="B35" s="44" t="s">
        <v>483</v>
      </c>
      <c r="C35" s="45" t="s">
        <v>484</v>
      </c>
      <c r="D35" s="46">
        <v>2.04</v>
      </c>
      <c r="E35" s="46" t="s">
        <v>472</v>
      </c>
      <c r="F35" s="46">
        <v>2.04</v>
      </c>
      <c r="G35" s="47" t="s">
        <v>472</v>
      </c>
    </row>
    <row r="36" spans="2:7" ht="15">
      <c r="B36" s="44" t="s">
        <v>485</v>
      </c>
      <c r="C36" s="45" t="s">
        <v>486</v>
      </c>
      <c r="D36" s="46">
        <v>0.1</v>
      </c>
      <c r="E36" s="46">
        <v>0.08</v>
      </c>
      <c r="F36" s="46">
        <v>0.1</v>
      </c>
      <c r="G36" s="47">
        <v>0.08</v>
      </c>
    </row>
    <row r="37" spans="2:7" ht="15">
      <c r="B37" s="44" t="s">
        <v>487</v>
      </c>
      <c r="C37" s="45" t="s">
        <v>488</v>
      </c>
      <c r="D37" s="46">
        <v>10.34</v>
      </c>
      <c r="E37" s="46">
        <v>7.85</v>
      </c>
      <c r="F37" s="46">
        <v>10.34</v>
      </c>
      <c r="G37" s="47">
        <v>7.85</v>
      </c>
    </row>
    <row r="38" spans="2:7" ht="15">
      <c r="B38" s="48" t="s">
        <v>489</v>
      </c>
      <c r="C38" s="49" t="s">
        <v>490</v>
      </c>
      <c r="D38" s="50">
        <v>0.03</v>
      </c>
      <c r="E38" s="50">
        <v>0.02</v>
      </c>
      <c r="F38" s="50">
        <v>0.03</v>
      </c>
      <c r="G38" s="51">
        <v>0.02</v>
      </c>
    </row>
    <row r="39" spans="2:7" ht="15.75">
      <c r="B39" s="39" t="s">
        <v>491</v>
      </c>
      <c r="C39" s="52" t="s">
        <v>492</v>
      </c>
      <c r="D39" s="53">
        <f>SUM(D29:D38)</f>
        <v>47.069999999999993</v>
      </c>
      <c r="E39" s="53">
        <f>SUM(E29:E38)</f>
        <v>17.559999999999999</v>
      </c>
      <c r="F39" s="53">
        <f>SUM(F29:F38)</f>
        <v>47.069999999999993</v>
      </c>
      <c r="G39" s="54">
        <f>SUM(G29:G38)</f>
        <v>17.559999999999999</v>
      </c>
    </row>
    <row r="40" spans="2:7" ht="15.75">
      <c r="B40" s="503" t="s">
        <v>493</v>
      </c>
      <c r="C40" s="504"/>
      <c r="D40" s="504"/>
      <c r="E40" s="504"/>
      <c r="F40" s="504"/>
      <c r="G40" s="505"/>
    </row>
    <row r="41" spans="2:7" ht="15">
      <c r="B41" s="40" t="s">
        <v>494</v>
      </c>
      <c r="C41" s="41" t="s">
        <v>495</v>
      </c>
      <c r="D41" s="42">
        <v>5.44</v>
      </c>
      <c r="E41" s="42">
        <v>4.13</v>
      </c>
      <c r="F41" s="42">
        <v>5.44</v>
      </c>
      <c r="G41" s="43">
        <v>4.13</v>
      </c>
    </row>
    <row r="42" spans="2:7" ht="15">
      <c r="B42" s="44" t="s">
        <v>496</v>
      </c>
      <c r="C42" s="45" t="s">
        <v>497</v>
      </c>
      <c r="D42" s="46">
        <v>0.13</v>
      </c>
      <c r="E42" s="46">
        <v>0.1</v>
      </c>
      <c r="F42" s="46">
        <v>0.13</v>
      </c>
      <c r="G42" s="47">
        <v>0.1</v>
      </c>
    </row>
    <row r="43" spans="2:7" ht="15">
      <c r="B43" s="44" t="s">
        <v>498</v>
      </c>
      <c r="C43" s="45" t="s">
        <v>499</v>
      </c>
      <c r="D43" s="46">
        <v>3.41</v>
      </c>
      <c r="E43" s="46">
        <v>2.59</v>
      </c>
      <c r="F43" s="46">
        <v>3.41</v>
      </c>
      <c r="G43" s="47">
        <v>2.59</v>
      </c>
    </row>
    <row r="44" spans="2:7" ht="15">
      <c r="B44" s="44" t="s">
        <v>500</v>
      </c>
      <c r="C44" s="45" t="s">
        <v>501</v>
      </c>
      <c r="D44" s="46">
        <v>3.36</v>
      </c>
      <c r="E44" s="46">
        <v>2.5499999999999998</v>
      </c>
      <c r="F44" s="46">
        <v>3.36</v>
      </c>
      <c r="G44" s="47">
        <v>2.5499999999999998</v>
      </c>
    </row>
    <row r="45" spans="2:7" ht="15">
      <c r="B45" s="48" t="s">
        <v>502</v>
      </c>
      <c r="C45" s="49" t="s">
        <v>503</v>
      </c>
      <c r="D45" s="50">
        <v>0.46</v>
      </c>
      <c r="E45" s="50">
        <v>0.35</v>
      </c>
      <c r="F45" s="50">
        <v>0.46</v>
      </c>
      <c r="G45" s="51">
        <v>0.35</v>
      </c>
    </row>
    <row r="46" spans="2:7" ht="15.75">
      <c r="B46" s="39" t="s">
        <v>504</v>
      </c>
      <c r="C46" s="52" t="s">
        <v>492</v>
      </c>
      <c r="D46" s="53">
        <f>SUM(D41:D45)</f>
        <v>12.8</v>
      </c>
      <c r="E46" s="53">
        <f>SUM(E41:E45)</f>
        <v>9.7199999999999989</v>
      </c>
      <c r="F46" s="53">
        <f>SUM(F41:F45)</f>
        <v>12.8</v>
      </c>
      <c r="G46" s="54">
        <f>SUM(G41:G45)</f>
        <v>9.7199999999999989</v>
      </c>
    </row>
    <row r="47" spans="2:7" ht="15.75">
      <c r="B47" s="503" t="s">
        <v>505</v>
      </c>
      <c r="C47" s="504"/>
      <c r="D47" s="504"/>
      <c r="E47" s="504"/>
      <c r="F47" s="504"/>
      <c r="G47" s="505"/>
    </row>
    <row r="48" spans="2:7" ht="15">
      <c r="B48" s="40" t="s">
        <v>506</v>
      </c>
      <c r="C48" s="41" t="s">
        <v>507</v>
      </c>
      <c r="D48" s="42">
        <v>7.91</v>
      </c>
      <c r="E48" s="42">
        <v>2.95</v>
      </c>
      <c r="F48" s="42">
        <v>17.32</v>
      </c>
      <c r="G48" s="43">
        <v>6.46</v>
      </c>
    </row>
    <row r="49" spans="2:7" ht="76.5" customHeight="1">
      <c r="B49" s="55" t="s">
        <v>508</v>
      </c>
      <c r="C49" s="56" t="s">
        <v>509</v>
      </c>
      <c r="D49" s="50">
        <v>0.46</v>
      </c>
      <c r="E49" s="50">
        <v>0.35</v>
      </c>
      <c r="F49" s="50">
        <v>0.48</v>
      </c>
      <c r="G49" s="51">
        <v>0.37</v>
      </c>
    </row>
    <row r="50" spans="2:7" ht="15.75">
      <c r="B50" s="39" t="s">
        <v>510</v>
      </c>
      <c r="C50" s="52" t="s">
        <v>304</v>
      </c>
      <c r="D50" s="53">
        <f>SUM(D48:D49)</f>
        <v>8.370000000000001</v>
      </c>
      <c r="E50" s="53">
        <f>SUM(E48:E49)</f>
        <v>3.3000000000000003</v>
      </c>
      <c r="F50" s="53">
        <f>SUM(F48:F49)</f>
        <v>17.8</v>
      </c>
      <c r="G50" s="54">
        <f>SUM(G48:G49)</f>
        <v>6.83</v>
      </c>
    </row>
    <row r="51" spans="2:7" ht="15">
      <c r="B51" s="506"/>
      <c r="C51" s="507"/>
      <c r="D51" s="507"/>
      <c r="E51" s="507"/>
      <c r="F51" s="507"/>
      <c r="G51" s="508"/>
    </row>
    <row r="52" spans="2:7" ht="15.75">
      <c r="B52" s="509" t="s">
        <v>511</v>
      </c>
      <c r="C52" s="510"/>
      <c r="D52" s="57">
        <f>D27+D39+D46+D50</f>
        <v>85.039999999999992</v>
      </c>
      <c r="E52" s="57">
        <f>E27+E39+E46+E50</f>
        <v>47.379999999999995</v>
      </c>
      <c r="F52" s="58">
        <f>(F27+F39+F46+F50)/100</f>
        <v>1.1446999999999998</v>
      </c>
      <c r="G52" s="59">
        <f>(G27+G39+G46+G50)/100</f>
        <v>0.70909999999999995</v>
      </c>
    </row>
    <row r="53" spans="2:7" ht="15">
      <c r="B53" s="60"/>
      <c r="C53" s="60"/>
      <c r="D53" s="60"/>
      <c r="E53" s="60"/>
      <c r="F53" s="60"/>
      <c r="G53" s="60"/>
    </row>
  </sheetData>
  <mergeCells count="16">
    <mergeCell ref="B51:G51"/>
    <mergeCell ref="B52:C52"/>
    <mergeCell ref="B12:G12"/>
    <mergeCell ref="D13:E13"/>
    <mergeCell ref="F13:G13"/>
    <mergeCell ref="B14:G14"/>
    <mergeCell ref="B17:G17"/>
    <mergeCell ref="D15:D16"/>
    <mergeCell ref="E15:E16"/>
    <mergeCell ref="F15:F16"/>
    <mergeCell ref="G15:G16"/>
    <mergeCell ref="B10:G11"/>
    <mergeCell ref="B15:C16"/>
    <mergeCell ref="B28:G28"/>
    <mergeCell ref="B40:G40"/>
    <mergeCell ref="B47:G47"/>
  </mergeCells>
  <pageMargins left="0.75" right="0.75" top="1" bottom="1" header="0.5" footer="0.5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8</vt:i4>
      </vt:variant>
    </vt:vector>
  </HeadingPairs>
  <TitlesOfParts>
    <vt:vector size="16" baseType="lpstr">
      <vt:lpstr>Planilha - IBOTIRAMA</vt:lpstr>
      <vt:lpstr>Cronograma - IBOTIRAMA</vt:lpstr>
      <vt:lpstr>MC - Ibotirama</vt:lpstr>
      <vt:lpstr>Mobilização - IBOTIRAMA</vt:lpstr>
      <vt:lpstr>CPU 01 - SERVIÇOS PRELIMINARES</vt:lpstr>
      <vt:lpstr>CPU 02</vt:lpstr>
      <vt:lpstr>BDI</vt:lpstr>
      <vt:lpstr>ENC SOCIAIS</vt:lpstr>
      <vt:lpstr>BDI!Area_de_impressao</vt:lpstr>
      <vt:lpstr>'CPU 01 - SERVIÇOS PRELIMINARES'!Area_de_impressao</vt:lpstr>
      <vt:lpstr>'CPU 02'!Area_de_impressao</vt:lpstr>
      <vt:lpstr>'Cronograma - IBOTIRAMA'!Area_de_impressao</vt:lpstr>
      <vt:lpstr>'ENC SOCIAIS'!Area_de_impressao</vt:lpstr>
      <vt:lpstr>'MC - Ibotirama'!Area_de_impressao</vt:lpstr>
      <vt:lpstr>'Planilha - IBOTIRAMA'!Area_de_impressao</vt:lpstr>
      <vt:lpstr>'Planilha - IBOTIRAMA'!Titulos_de_impressao</vt:lpstr>
    </vt:vector>
  </TitlesOfParts>
  <Company>DERBa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João Luiz Volpato Pazin</cp:lastModifiedBy>
  <cp:lastPrinted>2018-07-17T17:06:00Z</cp:lastPrinted>
  <dcterms:created xsi:type="dcterms:W3CDTF">1998-01-22T12:19:00Z</dcterms:created>
  <dcterms:modified xsi:type="dcterms:W3CDTF">2021-11-24T12:35:15Z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1046-11.2.0.8942</vt:lpwstr>
  </property>
</Properties>
</file>