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0-CONSTRUÇÃO DE DIVERSAS PRAÇAS\01-CD LICITAÇÃO\04-DOC_PRAÇA LIVRAMENTO\"/>
    </mc:Choice>
  </mc:AlternateContent>
  <bookViews>
    <workbookView xWindow="0" yWindow="0" windowWidth="24000" windowHeight="9735" tabRatio="876" firstSheet="1" activeTab="8"/>
  </bookViews>
  <sheets>
    <sheet name="Planilha - LIVRAMENTO" sheetId="28" r:id="rId1"/>
    <sheet name="Cronograma - LIVRAMENTO" sheetId="30" r:id="rId2"/>
    <sheet name="MC - Livramento" sheetId="29" r:id="rId3"/>
    <sheet name="Mobilização - LIVRAMENTO" sheetId="60" r:id="rId4"/>
    <sheet name="MC - Material asfáltico" sheetId="79" r:id="rId5"/>
    <sheet name="CPU 01 - SERVIÇOS PRELIMINARES" sheetId="74" r:id="rId6"/>
    <sheet name="CPU 02" sheetId="70" r:id="rId7"/>
    <sheet name="BDI" sheetId="77" r:id="rId8"/>
    <sheet name="BDI - FORNECIMENTO " sheetId="98" r:id="rId9"/>
    <sheet name="ENC SOCIAIS" sheetId="97" r:id="rId10"/>
  </sheets>
  <definedNames>
    <definedName name="AccessDatabase" hidden="1">"D:\Arquivos do excel\Planilha modelo1.mdb"</definedName>
    <definedName name="af" localSheetId="5">#REF!</definedName>
    <definedName name="af" localSheetId="1">#REF!</definedName>
    <definedName name="af" localSheetId="2">#REF!</definedName>
    <definedName name="af" localSheetId="0">#REF!</definedName>
    <definedName name="af">#REF!</definedName>
    <definedName name="ag" localSheetId="5">#REF!</definedName>
    <definedName name="ag" localSheetId="1">#REF!</definedName>
    <definedName name="ag" localSheetId="2">#REF!</definedName>
    <definedName name="ag" localSheetId="0">#REF!</definedName>
    <definedName name="ag">#REF!</definedName>
    <definedName name="_xlnm.Print_Area" localSheetId="7">BDI!$B$2:$I$37</definedName>
    <definedName name="_xlnm.Print_Area" localSheetId="8">'BDI - FORNECIMENTO '!$B$2:$E$32</definedName>
    <definedName name="_xlnm.Print_Area" localSheetId="5">'CPU 01 - SERVIÇOS PRELIMINARES'!$A$1:$H$54</definedName>
    <definedName name="_xlnm.Print_Area" localSheetId="6">'CPU 02'!$A$1:$H$105</definedName>
    <definedName name="_xlnm.Print_Area" localSheetId="1">'Cronograma - LIVRAMENTO'!$A$1:$F$31</definedName>
    <definedName name="_xlnm.Print_Area" localSheetId="9">'ENC SOCIAIS'!$B$2:$G$52</definedName>
    <definedName name="_xlnm.Print_Area" localSheetId="2">'MC - Livramento'!$A$1:$E$62</definedName>
    <definedName name="_xlnm.Print_Area" localSheetId="4">'MC - Material asfáltico'!$B$2:$V$18</definedName>
    <definedName name="_xlnm.Print_Area" localSheetId="0">'Planilha - LIVRAMENTO'!$A$1:$J$79</definedName>
    <definedName name="BALTO" localSheetId="5">#REF!</definedName>
    <definedName name="BALTO" localSheetId="1">#REF!</definedName>
    <definedName name="BALTO" localSheetId="2">#REF!</definedName>
    <definedName name="BALTO" localSheetId="0">#REF!</definedName>
    <definedName name="BALTO">#REF!</definedName>
    <definedName name="cho" localSheetId="5">#REF!</definedName>
    <definedName name="cho" localSheetId="1">#REF!</definedName>
    <definedName name="cho" localSheetId="2">#REF!</definedName>
    <definedName name="cho" localSheetId="0">#REF!</definedName>
    <definedName name="cho">#REF!</definedName>
    <definedName name="ci" localSheetId="5">#REF!</definedName>
    <definedName name="ci" localSheetId="1">#REF!</definedName>
    <definedName name="ci" localSheetId="2">#REF!</definedName>
    <definedName name="ci" localSheetId="0">#REF!</definedName>
    <definedName name="ci">#REF!</definedName>
    <definedName name="COD_ATRIUM" localSheetId="5">#REF!</definedName>
    <definedName name="COD_ATRIUM">#REF!</definedName>
    <definedName name="COD_SINAPI" localSheetId="5">#REF!</definedName>
    <definedName name="COD_SINAPI">#REF!</definedName>
    <definedName name="jazida5" localSheetId="5">#REF!</definedName>
    <definedName name="jazida5">#REF!</definedName>
    <definedName name="jazida6" localSheetId="5">#REF!</definedName>
    <definedName name="jazida6">#REF!</definedName>
    <definedName name="ls" localSheetId="5">#REF!</definedName>
    <definedName name="ls" localSheetId="1">#REF!</definedName>
    <definedName name="ls" localSheetId="2">#REF!</definedName>
    <definedName name="ls" localSheetId="0">#REF!</definedName>
    <definedName name="ls">#REF!</definedName>
    <definedName name="lub" localSheetId="5">#REF!</definedName>
    <definedName name="lub" localSheetId="1">#REF!</definedName>
    <definedName name="lub" localSheetId="2">#REF!</definedName>
    <definedName name="lub" localSheetId="0">#REF!</definedName>
    <definedName name="lub">#REF!</definedName>
    <definedName name="meio" localSheetId="5">#REF!</definedName>
    <definedName name="meio" localSheetId="1">#REF!</definedName>
    <definedName name="meio" localSheetId="2">#REF!</definedName>
    <definedName name="meio" localSheetId="0">#REF!</definedName>
    <definedName name="meio">#REF!</definedName>
    <definedName name="od" localSheetId="5">#REF!</definedName>
    <definedName name="od" localSheetId="1">#REF!</definedName>
    <definedName name="od" localSheetId="2">#REF!</definedName>
    <definedName name="od" localSheetId="0">#REF!</definedName>
    <definedName name="od">#REF!</definedName>
    <definedName name="of" localSheetId="5">#REF!</definedName>
    <definedName name="of" localSheetId="1">#REF!</definedName>
    <definedName name="of" localSheetId="2">#REF!</definedName>
    <definedName name="of" localSheetId="0">#REF!</definedName>
    <definedName name="of">#REF!</definedName>
    <definedName name="pdm" localSheetId="5">#REF!</definedName>
    <definedName name="pdm" localSheetId="1">#REF!</definedName>
    <definedName name="pdm" localSheetId="2">#REF!</definedName>
    <definedName name="pdm" localSheetId="0">#REF!</definedName>
    <definedName name="pdm">#REF!</definedName>
    <definedName name="pedra" localSheetId="5">#REF!</definedName>
    <definedName name="pedra" localSheetId="1">#REF!</definedName>
    <definedName name="pedra" localSheetId="2">#REF!</definedName>
    <definedName name="pedra" localSheetId="0">#REF!</definedName>
    <definedName name="pedra">#REF!</definedName>
    <definedName name="port" localSheetId="5">#REF!</definedName>
    <definedName name="port" localSheetId="1">#REF!</definedName>
    <definedName name="port" localSheetId="2">#REF!</definedName>
    <definedName name="port" localSheetId="0">#REF!</definedName>
    <definedName name="port">#REF!</definedName>
    <definedName name="PREF" localSheetId="5">#REF!</definedName>
    <definedName name="PREF" localSheetId="1">#REF!</definedName>
    <definedName name="PREF" localSheetId="2">#REF!</definedName>
    <definedName name="PREF" localSheetId="0">#REF!</definedName>
    <definedName name="PREF">#REF!</definedName>
    <definedName name="ruas" localSheetId="5">#REF!</definedName>
    <definedName name="ruas" localSheetId="1">#REF!</definedName>
    <definedName name="ruas" localSheetId="2">#REF!</definedName>
    <definedName name="ruas" localSheetId="0">#REF!</definedName>
    <definedName name="ruas">#REF!</definedName>
    <definedName name="s" localSheetId="5">#REF!</definedName>
    <definedName name="s">#REF!</definedName>
    <definedName name="se" localSheetId="5">#REF!</definedName>
    <definedName name="se" localSheetId="1">#REF!</definedName>
    <definedName name="se" localSheetId="2">#REF!</definedName>
    <definedName name="se" localSheetId="0">#REF!</definedName>
    <definedName name="se">#REF!</definedName>
    <definedName name="sx" localSheetId="5">#REF!</definedName>
    <definedName name="sx" localSheetId="1">#REF!</definedName>
    <definedName name="sx" localSheetId="2">#REF!</definedName>
    <definedName name="sx" localSheetId="0">#REF!</definedName>
    <definedName name="sx">#REF!</definedName>
    <definedName name="tb100cm" localSheetId="5">#REF!</definedName>
    <definedName name="tb100cm" localSheetId="1">#REF!</definedName>
    <definedName name="tb100cm" localSheetId="2">#REF!</definedName>
    <definedName name="tb100cm" localSheetId="0">#REF!</definedName>
    <definedName name="tb100cm">#REF!</definedName>
    <definedName name="_xlnm.Print_Titles" localSheetId="0">'Planilha - LIVRAMENTO'!$4:$11</definedName>
    <definedName name="total" localSheetId="5">#REF!</definedName>
    <definedName name="total" localSheetId="1">#REF!</definedName>
    <definedName name="total" localSheetId="2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E80" i="70" l="1"/>
  <c r="E91" i="70"/>
  <c r="D14" i="98"/>
  <c r="E25" i="98" s="1"/>
  <c r="D8" i="28" s="1"/>
  <c r="H34" i="28" l="1"/>
  <c r="H36" i="28"/>
  <c r="G10" i="70"/>
  <c r="G52" i="97" l="1"/>
  <c r="F52" i="97"/>
  <c r="E52" i="97"/>
  <c r="D52" i="97"/>
  <c r="G50" i="97"/>
  <c r="F50" i="97"/>
  <c r="E50" i="97"/>
  <c r="D50" i="97"/>
  <c r="G46" i="97"/>
  <c r="F46" i="97"/>
  <c r="E46" i="97"/>
  <c r="D46" i="97"/>
  <c r="G39" i="97"/>
  <c r="F39" i="97"/>
  <c r="E39" i="97"/>
  <c r="D39" i="97"/>
  <c r="G27" i="97"/>
  <c r="F27" i="97"/>
  <c r="E27" i="97"/>
  <c r="D27" i="97"/>
  <c r="D36" i="77"/>
  <c r="D29" i="77"/>
  <c r="I27" i="77"/>
  <c r="D26" i="77"/>
  <c r="D21" i="77"/>
  <c r="D17" i="77"/>
  <c r="E105" i="70"/>
  <c r="H101" i="70"/>
  <c r="H100" i="70"/>
  <c r="H99" i="70"/>
  <c r="H98" i="70"/>
  <c r="H97" i="70"/>
  <c r="H96" i="70"/>
  <c r="H95" i="70"/>
  <c r="H87" i="70"/>
  <c r="H86" i="70"/>
  <c r="H85" i="70"/>
  <c r="H84" i="70"/>
  <c r="H76" i="70"/>
  <c r="H75" i="70"/>
  <c r="H74" i="70"/>
  <c r="H73" i="70"/>
  <c r="H72" i="70"/>
  <c r="H71" i="70"/>
  <c r="H70" i="70"/>
  <c r="H77" i="70" s="1"/>
  <c r="H69" i="70"/>
  <c r="E65" i="70"/>
  <c r="H61" i="70"/>
  <c r="H60" i="70"/>
  <c r="H59" i="70"/>
  <c r="E54" i="70"/>
  <c r="H50" i="70"/>
  <c r="H49" i="70"/>
  <c r="H48" i="70"/>
  <c r="H47" i="70"/>
  <c r="H46" i="70"/>
  <c r="H45" i="70"/>
  <c r="H51" i="70" s="1"/>
  <c r="E41" i="70"/>
  <c r="H37" i="70"/>
  <c r="H36" i="70"/>
  <c r="H35" i="70"/>
  <c r="H34" i="70"/>
  <c r="H33" i="70"/>
  <c r="H32" i="70"/>
  <c r="H31" i="70"/>
  <c r="H30" i="70"/>
  <c r="E26" i="70"/>
  <c r="G24" i="70"/>
  <c r="H22" i="70"/>
  <c r="H21" i="70"/>
  <c r="H20" i="70"/>
  <c r="H19" i="70"/>
  <c r="H18" i="70"/>
  <c r="H17" i="70"/>
  <c r="H16" i="70"/>
  <c r="H15" i="70"/>
  <c r="G9" i="70"/>
  <c r="G89" i="70" s="1"/>
  <c r="A7" i="70"/>
  <c r="H51" i="74"/>
  <c r="H50" i="74"/>
  <c r="H49" i="74"/>
  <c r="H48" i="74"/>
  <c r="H47" i="74"/>
  <c r="H46" i="74"/>
  <c r="H40" i="74"/>
  <c r="H39" i="74"/>
  <c r="H38" i="74"/>
  <c r="H37" i="74"/>
  <c r="H36" i="74"/>
  <c r="H35" i="74"/>
  <c r="H34" i="74"/>
  <c r="H33" i="74"/>
  <c r="H32" i="74"/>
  <c r="H31" i="74"/>
  <c r="E28" i="74"/>
  <c r="F26" i="74"/>
  <c r="H26" i="74" s="1"/>
  <c r="H25" i="74"/>
  <c r="H24" i="74"/>
  <c r="H23" i="74"/>
  <c r="H15" i="74"/>
  <c r="H14" i="74"/>
  <c r="H16" i="74" s="1"/>
  <c r="H10" i="74"/>
  <c r="H9" i="74"/>
  <c r="E17" i="74" s="1"/>
  <c r="A7" i="74"/>
  <c r="U18" i="79"/>
  <c r="S18" i="79"/>
  <c r="R18" i="79"/>
  <c r="P18" i="79"/>
  <c r="O18" i="79"/>
  <c r="L18" i="79"/>
  <c r="K18" i="79"/>
  <c r="J18" i="79"/>
  <c r="V17" i="79"/>
  <c r="U17" i="79"/>
  <c r="T17" i="79"/>
  <c r="R17" i="79"/>
  <c r="Q17" i="79"/>
  <c r="O17" i="79"/>
  <c r="L17" i="79"/>
  <c r="K17" i="79"/>
  <c r="J17" i="79"/>
  <c r="B16" i="79"/>
  <c r="N13" i="79"/>
  <c r="I13" i="79"/>
  <c r="F28" i="60"/>
  <c r="A28" i="60"/>
  <c r="H25" i="60"/>
  <c r="C16" i="60"/>
  <c r="A5" i="60"/>
  <c r="E61" i="29"/>
  <c r="C61" i="29"/>
  <c r="B61" i="29"/>
  <c r="A61" i="29"/>
  <c r="C60" i="29"/>
  <c r="B60" i="29"/>
  <c r="A60" i="29"/>
  <c r="C59" i="29"/>
  <c r="B59" i="29"/>
  <c r="A59" i="29"/>
  <c r="C58" i="29"/>
  <c r="B58" i="29"/>
  <c r="A58" i="29"/>
  <c r="B57" i="29"/>
  <c r="A57" i="29"/>
  <c r="C55" i="29"/>
  <c r="B55" i="29"/>
  <c r="A55" i="29"/>
  <c r="C54" i="29"/>
  <c r="B54" i="29"/>
  <c r="A54" i="29"/>
  <c r="C53" i="29"/>
  <c r="B53" i="29"/>
  <c r="A53" i="29"/>
  <c r="C52" i="29"/>
  <c r="B52" i="29"/>
  <c r="A52" i="29"/>
  <c r="C51" i="29"/>
  <c r="B51" i="29"/>
  <c r="A51" i="29"/>
  <c r="E50" i="29"/>
  <c r="C50" i="29"/>
  <c r="B50" i="29"/>
  <c r="A50" i="29"/>
  <c r="H49" i="29"/>
  <c r="E49" i="29"/>
  <c r="C49" i="29"/>
  <c r="B49" i="29"/>
  <c r="A49" i="29"/>
  <c r="H48" i="29"/>
  <c r="C48" i="29"/>
  <c r="B48" i="29"/>
  <c r="A48" i="29"/>
  <c r="C47" i="29"/>
  <c r="B47" i="29"/>
  <c r="A47" i="29"/>
  <c r="H46" i="29"/>
  <c r="C46" i="29"/>
  <c r="B46" i="29"/>
  <c r="A46" i="29"/>
  <c r="E45" i="29"/>
  <c r="C45" i="29"/>
  <c r="B45" i="29"/>
  <c r="A45" i="29"/>
  <c r="M44" i="29"/>
  <c r="C44" i="29"/>
  <c r="B44" i="29"/>
  <c r="A44" i="29"/>
  <c r="J43" i="29"/>
  <c r="C43" i="29"/>
  <c r="B43" i="29"/>
  <c r="A43" i="29"/>
  <c r="C42" i="29"/>
  <c r="B42" i="29"/>
  <c r="A42" i="29"/>
  <c r="E41" i="29"/>
  <c r="C41" i="29"/>
  <c r="B41" i="29"/>
  <c r="A41" i="29"/>
  <c r="E40" i="29"/>
  <c r="C40" i="29"/>
  <c r="B40" i="29"/>
  <c r="A40" i="29"/>
  <c r="E39" i="29"/>
  <c r="C39" i="29"/>
  <c r="B39" i="29"/>
  <c r="A39" i="29"/>
  <c r="B38" i="29"/>
  <c r="A38" i="29"/>
  <c r="E36" i="29"/>
  <c r="C36" i="29"/>
  <c r="B36" i="29"/>
  <c r="A36" i="29"/>
  <c r="H35" i="29"/>
  <c r="E35" i="29"/>
  <c r="C35" i="29"/>
  <c r="B35" i="29"/>
  <c r="A35" i="29"/>
  <c r="B34" i="29"/>
  <c r="A34" i="29"/>
  <c r="C32" i="29"/>
  <c r="B32" i="29"/>
  <c r="A32" i="29"/>
  <c r="E31" i="29"/>
  <c r="C31" i="29"/>
  <c r="B31" i="29"/>
  <c r="A31" i="29"/>
  <c r="H30" i="29"/>
  <c r="E30" i="29"/>
  <c r="C30" i="29"/>
  <c r="B30" i="29"/>
  <c r="A30" i="29"/>
  <c r="E29" i="29"/>
  <c r="C29" i="29"/>
  <c r="B29" i="29"/>
  <c r="A29" i="29"/>
  <c r="H28" i="29"/>
  <c r="E28" i="29"/>
  <c r="C28" i="29"/>
  <c r="B28" i="29"/>
  <c r="A28" i="29"/>
  <c r="H27" i="29"/>
  <c r="E27" i="29"/>
  <c r="C27" i="29"/>
  <c r="B27" i="29"/>
  <c r="A27" i="29"/>
  <c r="B26" i="29"/>
  <c r="A26" i="29"/>
  <c r="C24" i="29"/>
  <c r="B24" i="29"/>
  <c r="A24" i="29"/>
  <c r="H23" i="29"/>
  <c r="E23" i="29"/>
  <c r="C23" i="29"/>
  <c r="B23" i="29"/>
  <c r="A23" i="29"/>
  <c r="H22" i="29"/>
  <c r="E22" i="29"/>
  <c r="C22" i="29"/>
  <c r="B22" i="29"/>
  <c r="A22" i="29"/>
  <c r="H21" i="29"/>
  <c r="E21" i="29"/>
  <c r="C21" i="29"/>
  <c r="B21" i="29"/>
  <c r="A21" i="29"/>
  <c r="L20" i="29"/>
  <c r="E20" i="29"/>
  <c r="C20" i="29"/>
  <c r="B20" i="29"/>
  <c r="A20" i="29"/>
  <c r="L19" i="29"/>
  <c r="E19" i="29"/>
  <c r="C19" i="29"/>
  <c r="B19" i="29"/>
  <c r="A19" i="29"/>
  <c r="E18" i="29"/>
  <c r="C18" i="29"/>
  <c r="B18" i="29"/>
  <c r="A18" i="29"/>
  <c r="H17" i="29"/>
  <c r="E17" i="29"/>
  <c r="C17" i="29"/>
  <c r="B17" i="29"/>
  <c r="A17" i="29"/>
  <c r="L16" i="29"/>
  <c r="E16" i="29"/>
  <c r="C16" i="29"/>
  <c r="B16" i="29"/>
  <c r="A16" i="29"/>
  <c r="E15" i="29"/>
  <c r="C15" i="29"/>
  <c r="B15" i="29"/>
  <c r="A15" i="29"/>
  <c r="H14" i="29"/>
  <c r="E14" i="29"/>
  <c r="C14" i="29"/>
  <c r="B14" i="29"/>
  <c r="A14" i="29"/>
  <c r="L13" i="29"/>
  <c r="E13" i="29"/>
  <c r="C13" i="29"/>
  <c r="B13" i="29"/>
  <c r="A13" i="29"/>
  <c r="L12" i="29"/>
  <c r="B12" i="29"/>
  <c r="A12" i="29"/>
  <c r="E10" i="29"/>
  <c r="C10" i="29"/>
  <c r="B10" i="29"/>
  <c r="A10" i="29"/>
  <c r="K9" i="29"/>
  <c r="E9" i="29"/>
  <c r="B9" i="29"/>
  <c r="A9" i="29"/>
  <c r="B8" i="29"/>
  <c r="A8" i="29"/>
  <c r="H6" i="29"/>
  <c r="K5" i="29"/>
  <c r="A4" i="29"/>
  <c r="B25" i="30"/>
  <c r="A25" i="30"/>
  <c r="B23" i="30"/>
  <c r="A23" i="30"/>
  <c r="B21" i="30"/>
  <c r="A21" i="30"/>
  <c r="B19" i="30"/>
  <c r="A19" i="30"/>
  <c r="B17" i="30"/>
  <c r="A17" i="30"/>
  <c r="B15" i="30"/>
  <c r="A15" i="30"/>
  <c r="B13" i="30"/>
  <c r="A13" i="30"/>
  <c r="B11" i="30"/>
  <c r="A11" i="30"/>
  <c r="A5" i="30"/>
  <c r="F76" i="28"/>
  <c r="F75" i="28"/>
  <c r="F74" i="28"/>
  <c r="F73" i="28"/>
  <c r="F70" i="28"/>
  <c r="F69" i="28"/>
  <c r="F68" i="28"/>
  <c r="F67" i="28"/>
  <c r="F66" i="28"/>
  <c r="F65" i="28"/>
  <c r="F64" i="28"/>
  <c r="F63" i="28"/>
  <c r="F62" i="28"/>
  <c r="F61" i="28"/>
  <c r="F60" i="28"/>
  <c r="F59" i="28"/>
  <c r="F58" i="28"/>
  <c r="F57" i="28"/>
  <c r="F56" i="28"/>
  <c r="F55" i="28"/>
  <c r="F54" i="28"/>
  <c r="F51" i="28"/>
  <c r="F50" i="28"/>
  <c r="F46" i="28"/>
  <c r="F45" i="28"/>
  <c r="F44" i="28"/>
  <c r="F43" i="28"/>
  <c r="F42" i="28"/>
  <c r="F41" i="28"/>
  <c r="F38" i="28"/>
  <c r="F37" i="28"/>
  <c r="F36" i="28"/>
  <c r="F35" i="28"/>
  <c r="G34" i="28"/>
  <c r="F34" i="28"/>
  <c r="F33" i="28"/>
  <c r="F32" i="28"/>
  <c r="F31" i="28"/>
  <c r="F30" i="28"/>
  <c r="F29" i="28"/>
  <c r="F28" i="28"/>
  <c r="F27" i="28"/>
  <c r="F23" i="28"/>
  <c r="F22" i="28"/>
  <c r="F19" i="28"/>
  <c r="F18" i="28"/>
  <c r="G7" i="28"/>
  <c r="D7" i="28"/>
  <c r="H70" i="28" s="1"/>
  <c r="H102" i="70" l="1"/>
  <c r="H38" i="70"/>
  <c r="H23" i="70"/>
  <c r="H24" i="70" s="1"/>
  <c r="H25" i="70" s="1"/>
  <c r="H26" i="70" s="1"/>
  <c r="H45" i="28" s="1"/>
  <c r="H62" i="70"/>
  <c r="G74" i="28" s="1"/>
  <c r="H74" i="28" s="1"/>
  <c r="I74" i="28" s="1"/>
  <c r="J74" i="28" s="1"/>
  <c r="G78" i="70"/>
  <c r="H88" i="70"/>
  <c r="H89" i="70" s="1"/>
  <c r="H90" i="70" s="1"/>
  <c r="H91" i="70" s="1"/>
  <c r="H78" i="70"/>
  <c r="H79" i="70" s="1"/>
  <c r="H80" i="70" s="1"/>
  <c r="G73" i="28"/>
  <c r="H73" i="28" s="1"/>
  <c r="I73" i="28" s="1"/>
  <c r="H39" i="70"/>
  <c r="H40" i="70" s="1"/>
  <c r="H41" i="70" s="1"/>
  <c r="H46" i="28" s="1"/>
  <c r="H103" i="70"/>
  <c r="H104" i="70" s="1"/>
  <c r="H105" i="70" s="1"/>
  <c r="G23" i="28"/>
  <c r="H23" i="28" s="1"/>
  <c r="I23" i="28" s="1"/>
  <c r="J23" i="28" s="1"/>
  <c r="H52" i="70"/>
  <c r="H53" i="70" s="1"/>
  <c r="H54" i="70" s="1"/>
  <c r="G63" i="28"/>
  <c r="H63" i="28" s="1"/>
  <c r="I63" i="28" s="1"/>
  <c r="J63" i="28" s="1"/>
  <c r="G103" i="70"/>
  <c r="G63" i="70"/>
  <c r="G39" i="70"/>
  <c r="G52" i="70"/>
  <c r="H30" i="28"/>
  <c r="I30" i="28" s="1"/>
  <c r="J30" i="28" s="1"/>
  <c r="H22" i="28"/>
  <c r="I22" i="28" s="1"/>
  <c r="H33" i="28"/>
  <c r="I33" i="28" s="1"/>
  <c r="J33" i="28" s="1"/>
  <c r="I34" i="28"/>
  <c r="J34" i="28" s="1"/>
  <c r="H27" i="28"/>
  <c r="I27" i="28" s="1"/>
  <c r="J27" i="28" s="1"/>
  <c r="H27" i="74"/>
  <c r="H28" i="74" s="1"/>
  <c r="H29" i="74" s="1"/>
  <c r="H52" i="74"/>
  <c r="H41" i="74"/>
  <c r="E53" i="74"/>
  <c r="H53" i="74"/>
  <c r="H54" i="74" s="1"/>
  <c r="H19" i="28" s="1"/>
  <c r="E42" i="74"/>
  <c r="H42" i="74" s="1"/>
  <c r="H43" i="74" s="1"/>
  <c r="H18" i="28" s="1"/>
  <c r="G18" i="28" s="1"/>
  <c r="I56" i="28"/>
  <c r="J56" i="28" s="1"/>
  <c r="I43" i="28"/>
  <c r="J43" i="28" s="1"/>
  <c r="I68" i="28"/>
  <c r="J68" i="28" s="1"/>
  <c r="I70" i="28"/>
  <c r="J70" i="28" s="1"/>
  <c r="I60" i="28"/>
  <c r="J60" i="28" s="1"/>
  <c r="H55" i="28"/>
  <c r="I55" i="28" s="1"/>
  <c r="J55" i="28" s="1"/>
  <c r="H43" i="28"/>
  <c r="H28" i="28"/>
  <c r="I28" i="28" s="1"/>
  <c r="J28" i="28" s="1"/>
  <c r="H31" i="28"/>
  <c r="I31" i="28" s="1"/>
  <c r="J31" i="28" s="1"/>
  <c r="H35" i="28"/>
  <c r="I35" i="28" s="1"/>
  <c r="J35" i="28" s="1"/>
  <c r="H56" i="28"/>
  <c r="H59" i="28"/>
  <c r="I59" i="28" s="1"/>
  <c r="J59" i="28" s="1"/>
  <c r="H62" i="28"/>
  <c r="I62" i="28" s="1"/>
  <c r="J62" i="28" s="1"/>
  <c r="H41" i="28"/>
  <c r="I41" i="28" s="1"/>
  <c r="H44" i="28"/>
  <c r="I44" i="28" s="1"/>
  <c r="J44" i="28" s="1"/>
  <c r="H65" i="28"/>
  <c r="I65" i="28" s="1"/>
  <c r="J65" i="28" s="1"/>
  <c r="H68" i="28"/>
  <c r="H75" i="28"/>
  <c r="I75" i="28" s="1"/>
  <c r="J75" i="28" s="1"/>
  <c r="H14" i="28"/>
  <c r="I14" i="28" s="1"/>
  <c r="J14" i="28" s="1"/>
  <c r="H29" i="28"/>
  <c r="I29" i="28" s="1"/>
  <c r="J29" i="28" s="1"/>
  <c r="H32" i="28"/>
  <c r="I32" i="28" s="1"/>
  <c r="J32" i="28" s="1"/>
  <c r="H54" i="28"/>
  <c r="I54" i="28" s="1"/>
  <c r="H60" i="28"/>
  <c r="H57" i="28"/>
  <c r="I57" i="28" s="1"/>
  <c r="J57" i="28" s="1"/>
  <c r="H15" i="28"/>
  <c r="I15" i="28" s="1"/>
  <c r="J15" i="28" s="1"/>
  <c r="H37" i="28"/>
  <c r="I37" i="28" s="1"/>
  <c r="J37" i="28" s="1"/>
  <c r="H42" i="28"/>
  <c r="I42" i="28" s="1"/>
  <c r="J42" i="28" s="1"/>
  <c r="H50" i="28"/>
  <c r="I50" i="28" s="1"/>
  <c r="H66" i="28"/>
  <c r="I66" i="28" s="1"/>
  <c r="J66" i="28" s="1"/>
  <c r="H69" i="28"/>
  <c r="I69" i="28" s="1"/>
  <c r="J69" i="28" s="1"/>
  <c r="H76" i="28"/>
  <c r="I76" i="28" s="1"/>
  <c r="J76" i="28" s="1"/>
  <c r="H58" i="28"/>
  <c r="I58" i="28" s="1"/>
  <c r="J58" i="28" s="1"/>
  <c r="H61" i="28"/>
  <c r="I61" i="28" s="1"/>
  <c r="J61" i="28" s="1"/>
  <c r="H38" i="28"/>
  <c r="I38" i="28" s="1"/>
  <c r="J38" i="28" s="1"/>
  <c r="H64" i="28"/>
  <c r="I64" i="28" s="1"/>
  <c r="J64" i="28" s="1"/>
  <c r="H67" i="28"/>
  <c r="I67" i="28" s="1"/>
  <c r="J67" i="28" s="1"/>
  <c r="Q18" i="79"/>
  <c r="T18" i="79" s="1"/>
  <c r="V18" i="79" s="1"/>
  <c r="G36" i="28" s="1"/>
  <c r="I36" i="28" s="1"/>
  <c r="H17" i="74"/>
  <c r="H18" i="74" s="1"/>
  <c r="H19" i="74" s="1"/>
  <c r="H20" i="74" s="1"/>
  <c r="G51" i="28" l="1"/>
  <c r="H51" i="28" s="1"/>
  <c r="I51" i="28" s="1"/>
  <c r="J51" i="28" s="1"/>
  <c r="H63" i="70"/>
  <c r="H64" i="70" s="1"/>
  <c r="H65" i="70" s="1"/>
  <c r="I45" i="28"/>
  <c r="J45" i="28" s="1"/>
  <c r="G45" i="28"/>
  <c r="I46" i="28"/>
  <c r="J46" i="28" s="1"/>
  <c r="G46" i="28"/>
  <c r="I24" i="28"/>
  <c r="C13" i="30" s="1"/>
  <c r="E14" i="30" s="1"/>
  <c r="J22" i="28"/>
  <c r="J24" i="28" s="1"/>
  <c r="H17" i="28"/>
  <c r="H16" i="28"/>
  <c r="G19" i="28"/>
  <c r="I19" i="28"/>
  <c r="I18" i="28"/>
  <c r="J41" i="28"/>
  <c r="I77" i="28"/>
  <c r="C25" i="30" s="1"/>
  <c r="J73" i="28"/>
  <c r="J77" i="28" s="1"/>
  <c r="I71" i="28"/>
  <c r="C23" i="30" s="1"/>
  <c r="J54" i="28"/>
  <c r="J71" i="28" s="1"/>
  <c r="J50" i="28"/>
  <c r="I39" i="28"/>
  <c r="J36" i="28"/>
  <c r="J39" i="28" s="1"/>
  <c r="H13" i="28"/>
  <c r="I52" i="28" l="1"/>
  <c r="C21" i="30" s="1"/>
  <c r="J52" i="28"/>
  <c r="J47" i="28"/>
  <c r="J48" i="28"/>
  <c r="I47" i="28"/>
  <c r="C19" i="30" s="1"/>
  <c r="D13" i="30"/>
  <c r="G13" i="30" s="1"/>
  <c r="F14" i="30"/>
  <c r="I16" i="28"/>
  <c r="G16" i="28"/>
  <c r="G17" i="28"/>
  <c r="I17" i="28"/>
  <c r="L19" i="28"/>
  <c r="J19" i="28"/>
  <c r="J18" i="28"/>
  <c r="L18" i="28"/>
  <c r="F21" i="30"/>
  <c r="F22" i="30" s="1"/>
  <c r="E21" i="30"/>
  <c r="E22" i="30" s="1"/>
  <c r="D21" i="30"/>
  <c r="F19" i="30"/>
  <c r="F20" i="30" s="1"/>
  <c r="E19" i="30"/>
  <c r="E20" i="30" s="1"/>
  <c r="D19" i="30"/>
  <c r="F23" i="30"/>
  <c r="F24" i="30" s="1"/>
  <c r="E23" i="30"/>
  <c r="E24" i="30" s="1"/>
  <c r="D23" i="30"/>
  <c r="F25" i="30"/>
  <c r="F26" i="30" s="1"/>
  <c r="E25" i="30"/>
  <c r="E26" i="30" s="1"/>
  <c r="D25" i="30"/>
  <c r="C17" i="30"/>
  <c r="G13" i="28"/>
  <c r="I13" i="28"/>
  <c r="I48" i="28" l="1"/>
  <c r="C15" i="30" s="1"/>
  <c r="D14" i="30"/>
  <c r="L17" i="28"/>
  <c r="J17" i="28"/>
  <c r="J16" i="28"/>
  <c r="L16" i="28"/>
  <c r="D24" i="30"/>
  <c r="G23" i="30"/>
  <c r="D26" i="30"/>
  <c r="G25" i="30"/>
  <c r="G19" i="30"/>
  <c r="D20" i="30"/>
  <c r="D22" i="30"/>
  <c r="G21" i="30"/>
  <c r="E17" i="30"/>
  <c r="F17" i="30"/>
  <c r="D17" i="30"/>
  <c r="I20" i="28"/>
  <c r="M13" i="28"/>
  <c r="M20" i="28" s="1"/>
  <c r="L13" i="28"/>
  <c r="J13" i="28"/>
  <c r="N13" i="28"/>
  <c r="N20" i="28" s="1"/>
  <c r="J20" i="28" l="1"/>
  <c r="J79" i="28" s="1"/>
  <c r="J20" i="74" s="1"/>
  <c r="L20" i="28"/>
  <c r="L25" i="28" s="1"/>
  <c r="E15" i="30"/>
  <c r="E18" i="30"/>
  <c r="F15" i="30"/>
  <c r="F16" i="30" s="1"/>
  <c r="F18" i="30"/>
  <c r="D15" i="30"/>
  <c r="D18" i="30"/>
  <c r="G17" i="30"/>
  <c r="N25" i="28"/>
  <c r="M25" i="28"/>
  <c r="I79" i="28"/>
  <c r="K13" i="28" s="1"/>
  <c r="K11" i="28"/>
  <c r="C11" i="30"/>
  <c r="E11" i="30" s="1"/>
  <c r="E27" i="30" l="1"/>
  <c r="E16" i="30"/>
  <c r="D16" i="30"/>
  <c r="G15" i="30"/>
  <c r="C27" i="30"/>
  <c r="F11" i="30"/>
  <c r="D11" i="30"/>
  <c r="E12" i="30"/>
  <c r="E29" i="30" l="1"/>
  <c r="D27" i="30"/>
  <c r="G11" i="30"/>
  <c r="D12" i="30"/>
  <c r="F12" i="30"/>
  <c r="F27" i="30"/>
  <c r="D30" i="30" l="1"/>
  <c r="E30" i="30" s="1"/>
  <c r="F30" i="30" s="1"/>
  <c r="D29" i="30"/>
  <c r="G27" i="30"/>
  <c r="F29" i="30"/>
  <c r="D31" i="30" l="1"/>
  <c r="E31" i="30" s="1"/>
  <c r="F31" i="30" s="1"/>
  <c r="G29" i="30"/>
</calcChain>
</file>

<file path=xl/comments1.xml><?xml version="1.0" encoding="utf-8"?>
<comments xmlns="http://schemas.openxmlformats.org/spreadsheetml/2006/main">
  <authors>
    <author>João Luiz Volpato Pazin</author>
  </authors>
  <commentList>
    <comment ref="G61" authorId="0" shapeId="0">
      <text>
        <r>
          <rPr>
            <b/>
            <sz val="9"/>
            <rFont val="Tahoma"/>
            <charset val="134"/>
          </rPr>
          <t>João Luiz Volpato Pazin:</t>
        </r>
        <r>
          <rPr>
            <sz val="9"/>
            <rFont val="Tahoma"/>
            <charset val="134"/>
          </rPr>
          <t xml:space="preserve">
659,56 (CJ. 6 LIXEIRAS DE 20 L)
TRANSFORMAR PRA 4 LIXEIRAS DE 25 L
(660 X 5)/6 = 550</t>
        </r>
      </text>
    </comment>
  </commentList>
</comments>
</file>

<file path=xl/sharedStrings.xml><?xml version="1.0" encoding="utf-8"?>
<sst xmlns="http://schemas.openxmlformats.org/spreadsheetml/2006/main" count="1099" uniqueCount="567">
  <si>
    <t xml:space="preserve">                                                    MINISTÉRIO DO DESENVOLVIMENTO REGIONAL</t>
  </si>
  <si>
    <t xml:space="preserve">        MINISTÉRIO DO DESENVOLVIMENTO REGIONAL</t>
  </si>
  <si>
    <t>% DE RESERVA DE CONTINGÊNCIA (TAXA DE RISCO DA MATRIZ)</t>
  </si>
  <si>
    <t xml:space="preserve">        COMPANHIA DE DESENVOLVIMENTO DOS VALES DO SÃO FRANCISCO E DO PARNAÍBA</t>
  </si>
  <si>
    <t xml:space="preserve">        2.ª GRD da 2ª SUPERINTENDÊNCIA REGIONAL- Bom Jesus da Lapa/Ba.</t>
  </si>
  <si>
    <t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t>
  </si>
  <si>
    <t xml:space="preserve">BDI SERVIÇOS:                                               </t>
  </si>
  <si>
    <t xml:space="preserve">ENCARGOS SOCIAIS: </t>
  </si>
  <si>
    <t>BASE:</t>
  </si>
  <si>
    <t>SINAPI: OUTUBRO/2021; ORSE: SETEMBRO/2021; SICRO: JULHO/2021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</si>
  <si>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</si>
  <si>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</si>
  <si>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</si>
  <si>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</si>
  <si>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</si>
  <si>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</si>
  <si>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</si>
  <si>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PREÇO UNITÁRIO (COM BDI) (R$)</t>
  </si>
  <si>
    <t>TOTAL</t>
  </si>
  <si>
    <t>TOTAL C/ BDI E COM TAXA RISCO DA MATRIZ (R$)</t>
  </si>
  <si>
    <t>SERVIÇOS PRELIMINARES</t>
  </si>
  <si>
    <t>1.1</t>
  </si>
  <si>
    <t>CODEVASF</t>
  </si>
  <si>
    <t>CPU-01-A</t>
  </si>
  <si>
    <t>Administração local e Manutenção do Canteiro.</t>
  </si>
  <si>
    <t>global</t>
  </si>
  <si>
    <t>1.2</t>
  </si>
  <si>
    <t>SINAPI</t>
  </si>
  <si>
    <t>Locação de container - escritório com banheiro</t>
  </si>
  <si>
    <t>mês</t>
  </si>
  <si>
    <t>1.3</t>
  </si>
  <si>
    <t>ORSE</t>
  </si>
  <si>
    <t>Aluguel de container - almoxarifado sem banheiro - 6,00 x 2,40m</t>
  </si>
  <si>
    <t>1.4</t>
  </si>
  <si>
    <t>CPU-02-A</t>
  </si>
  <si>
    <t>Mobilização</t>
  </si>
  <si>
    <t>und</t>
  </si>
  <si>
    <t>1.5</t>
  </si>
  <si>
    <t>Desmobilização</t>
  </si>
  <si>
    <t>1.6</t>
  </si>
  <si>
    <t>CPU-03</t>
  </si>
  <si>
    <t>Placa de obra em chapa de aço galvanizada (3,60 X 1,80m).</t>
  </si>
  <si>
    <t>m²</t>
  </si>
  <si>
    <t>1.7</t>
  </si>
  <si>
    <t>CPU-04</t>
  </si>
  <si>
    <t>Serviços topográficos</t>
  </si>
  <si>
    <t>TOTAL DO ITEM 1</t>
  </si>
  <si>
    <t>TERRAPLENAGEM (CBUQ + INTERTRAVADO)</t>
  </si>
  <si>
    <t>2.1</t>
  </si>
  <si>
    <t>Limpeza mecanizada de camada vegetal, vegetação e pequenas árvores (diâmetro de tronco menor que 0,20 m), com trator de esteiras.af_05/2018</t>
  </si>
  <si>
    <t>M2</t>
  </si>
  <si>
    <t>2.2</t>
  </si>
  <si>
    <t>CPU-23</t>
  </si>
  <si>
    <t>regularização e compactação de subleito de solo predominantemente argiloso</t>
  </si>
  <si>
    <t>TOTAL DO ITEM 2</t>
  </si>
  <si>
    <t xml:space="preserve"> PAVIMENTAÇÃO E GUIAS</t>
  </si>
  <si>
    <t>3.1</t>
  </si>
  <si>
    <t xml:space="preserve">CBUQ </t>
  </si>
  <si>
    <t>3.1.1</t>
  </si>
  <si>
    <t>Escavação manual de vala com profundidade menor ou igual a 1,30 m c 02/2021</t>
  </si>
  <si>
    <t>m³</t>
  </si>
  <si>
    <t>3.1.2</t>
  </si>
  <si>
    <t>Assentamento de guia (meio fio) em trecho reto, confeccionada em concreto pré - fabricado, dimensões 100x15x13x30 cm (comprimento x base inferior x base superior x altura), para vias urbana (uso viário) .</t>
  </si>
  <si>
    <t>m</t>
  </si>
  <si>
    <t>3.1.3</t>
  </si>
  <si>
    <t>Assentamento de guia (meio fio) em trecho curvo, confeccionada em concreto pré - fabricado, dimensões 100x15x13x30 cm (comprimento x base inferior x base superior x altura), para vias urbana (uso viário) .</t>
  </si>
  <si>
    <t>3.1.4</t>
  </si>
  <si>
    <t>Reaterro manual apiloado com soquete</t>
  </si>
  <si>
    <t>LASTRO DE CONCRETO?</t>
  </si>
  <si>
    <t>3.1.5</t>
  </si>
  <si>
    <t>Base estabilizada granulometricamento com mistura de solo na pista (exclusive material de base)</t>
  </si>
  <si>
    <t>3.1.6</t>
  </si>
  <si>
    <t>Material para base com CBR&gt;60, adquirido solto na jazida, inclusive limpeza da área e carga, exclusive transporte</t>
  </si>
  <si>
    <t>3.1.7</t>
  </si>
  <si>
    <t>Transporte com caminhão basculante de 14 m³, em via urbana em revestimento primário (material de base), DMT de 5 km</t>
  </si>
  <si>
    <t>m³xKm</t>
  </si>
  <si>
    <t>3.1.8</t>
  </si>
  <si>
    <t>CPU-RR</t>
  </si>
  <si>
    <t>Aquisição e transporte de emulsão asfáltica RR-2C</t>
  </si>
  <si>
    <t>t</t>
  </si>
  <si>
    <t>3.1.9</t>
  </si>
  <si>
    <t>SICRO</t>
  </si>
  <si>
    <t>imprimação com emulsão asfáltica RR-2C</t>
  </si>
  <si>
    <t>3.1.10</t>
  </si>
  <si>
    <t>CPU-CAP</t>
  </si>
  <si>
    <t>Aquisição e transporte de CAP 50/70</t>
  </si>
  <si>
    <t>3.1.11</t>
  </si>
  <si>
    <t>Concreto asfáltico - faixa C - areia e brita comerciais</t>
  </si>
  <si>
    <t>3.1.12</t>
  </si>
  <si>
    <t>Cinta de amarração de alvenaria moldada in loco em concreto</t>
  </si>
  <si>
    <t>TOTAL DO SUB-ITEM 3.1</t>
  </si>
  <si>
    <t>3.2</t>
  </si>
  <si>
    <t>Intertravado</t>
  </si>
  <si>
    <t>3.2.1</t>
  </si>
  <si>
    <t>escavação manual de vala com profundidade menor ou igual a 1,30 m c 02/2021</t>
  </si>
  <si>
    <t>3.2.2</t>
  </si>
  <si>
    <t>Lastro de concreto magro, aplicado em pisos, lajes sobre solo ou radier, espessura de 3 cm.</t>
  </si>
  <si>
    <t>3.2.3</t>
  </si>
  <si>
    <t>Assentamento de guia (meio-fio) em trecho reto, confeccionado em concreto pré-fabricado, dimensões 39x6,5x6,5x19 cm (comprimento x base inferior x base superior x altura), para delimitação de jardins, praças ou passeios.</t>
  </si>
  <si>
    <t>3.2.4</t>
  </si>
  <si>
    <t>3.2.5</t>
  </si>
  <si>
    <t>CPU-05</t>
  </si>
  <si>
    <t>Execução de pavimento em piso intertravado, com bloco sextavado de 25 x 25 cm, espessura 6 cm.</t>
  </si>
  <si>
    <t>3.2.6</t>
  </si>
  <si>
    <t>CPU-06</t>
  </si>
  <si>
    <t>Execução de passeio em piso intertravado, com bloco retangular colorido de 20 x 10  cm, espessura de 6 cm.</t>
  </si>
  <si>
    <t>TOTAL DO SUB-ITEM 3.2</t>
  </si>
  <si>
    <t>TOTAL DO ITEM 3</t>
  </si>
  <si>
    <t>INSTALAÇAÕ DE PARQUE INFANTIL</t>
  </si>
  <si>
    <t>4.1</t>
  </si>
  <si>
    <t>Execução do colchão de areia, esp.=20cm</t>
  </si>
  <si>
    <t>4.2</t>
  </si>
  <si>
    <t>CPU-19</t>
  </si>
  <si>
    <t>Parque infantil - fornecimento e montagem</t>
  </si>
  <si>
    <t>un</t>
  </si>
  <si>
    <t>TOTAL DO ITEM 4</t>
  </si>
  <si>
    <t>INSTALAÇÕES ELÉTRICAS</t>
  </si>
  <si>
    <t>5.1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</si>
  <si>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 com baixo nível de interferência.</t>
  </si>
  <si>
    <t>M³</t>
  </si>
  <si>
    <t>5.2</t>
  </si>
  <si>
    <t xml:space="preserve">Colchão de areia, espessura de 5 cm </t>
  </si>
  <si>
    <t>5.3</t>
  </si>
  <si>
    <t>Reaterro mecanizado de vala com retroescavadeira (capacidade da caçamba da retro: 0,26 m³ / potência: 88 hp), largura até 0,8 m, profundidade até 1,5 m, com solo de 1ª categoria em locais com baixo nível de interferência. af_04/2016</t>
  </si>
  <si>
    <t>5.4</t>
  </si>
  <si>
    <t>disjuntor tripolar tipo din, corrente nominal de 32a - fornecimento e instalação.</t>
  </si>
  <si>
    <t>5.5</t>
  </si>
  <si>
    <t>disjuntor tripolar tipo din, corrente nominal de 10a - fornecimento e instalação</t>
  </si>
  <si>
    <t>5.6</t>
  </si>
  <si>
    <t>eletroduto pvc rígido roscável diâmetro 1 1/4"</t>
  </si>
  <si>
    <t>5.7</t>
  </si>
  <si>
    <t>eletroduto pvc rígido roscável diâmetro 3/4"</t>
  </si>
  <si>
    <t>5.8</t>
  </si>
  <si>
    <t>Caixa de passagem em alvenaria de tijolos maciços esp. = 0,12 m, dim. Int. = 0,4 x 0,4 x 0,4 m</t>
  </si>
  <si>
    <t xml:space="preserve"> UND </t>
  </si>
  <si>
    <t>5.9</t>
  </si>
  <si>
    <t xml:space="preserve">Tampa de concreto para caixas de passagem 0,4 x 0,4 x 0,07 m </t>
  </si>
  <si>
    <t>5.10</t>
  </si>
  <si>
    <t>CPU-07</t>
  </si>
  <si>
    <t>Luminarias decorativas com chapeu refletor em aluminio, poste de 3 m, inclusive lampada de 250 w (2 LUMINÁRIAS/LÂMPADAS)</t>
  </si>
  <si>
    <t>5.11</t>
  </si>
  <si>
    <t>cabo de cobre flexível isolado, 2,5 mm², anti-chama 450/750 v, para circuitos terminais - fornecimento e instalação. af_12/2015</t>
  </si>
  <si>
    <t>M</t>
  </si>
  <si>
    <t>5.12</t>
  </si>
  <si>
    <t>cabo de cobre flexível isolado, 10 mm², anti-chama 450/750 v, para circuitos terminais - fornecimento e instalação. af_12/2015</t>
  </si>
  <si>
    <t>5.13</t>
  </si>
  <si>
    <t>haste de terra em cobre tipo copperweld ø 5/8"x3,00m</t>
  </si>
  <si>
    <t>PÇ</t>
  </si>
  <si>
    <t>5.14</t>
  </si>
  <si>
    <t>grampo de aterramento split-bolt, para cabo de # 10,0mm²</t>
  </si>
  <si>
    <t>5.15</t>
  </si>
  <si>
    <t xml:space="preserve">relé fotoelétrico </t>
  </si>
  <si>
    <t>5.16</t>
  </si>
  <si>
    <t>quadro de distribuição de energia em chapa de aço galvanizado, de embutir, com barramento trifásico, para 12 disjuntores din 100a - fornecimento e instalação.</t>
  </si>
  <si>
    <t>5.17</t>
  </si>
  <si>
    <t>quadro de medição de energia c padrão "coelba"</t>
  </si>
  <si>
    <t>TOTAL DO ITEM 5</t>
  </si>
  <si>
    <t>DIVERSOS</t>
  </si>
  <si>
    <t>6.1</t>
  </si>
  <si>
    <t>CPU-16</t>
  </si>
  <si>
    <t>Banco com pés em concreto pré-moldado e assento e encosto de madeira</t>
  </si>
  <si>
    <t>6.2</t>
  </si>
  <si>
    <t>CPU-15</t>
  </si>
  <si>
    <t xml:space="preserve">conjunto de coleta seletiva com 4 lixeiras de 25l cada, tipo vai e vem com tampa e suporte metálico. </t>
  </si>
  <si>
    <t>6.3</t>
  </si>
  <si>
    <t>Grama esmeralda em mudas, fornecimento e plantio</t>
  </si>
  <si>
    <t>6.4</t>
  </si>
  <si>
    <t>Limpeza de ruas (varrição e remoção de entulhos)</t>
  </si>
  <si>
    <t>TOTAL DO ITEM 6</t>
  </si>
  <si>
    <t>TOTAL GERAL (R$)</t>
  </si>
  <si>
    <t>Valor a chegar R$ 477.500,00</t>
  </si>
  <si>
    <t>M3</t>
  </si>
  <si>
    <t>M²</t>
  </si>
  <si>
    <t>KG</t>
  </si>
  <si>
    <t xml:space="preserve">                                          COMPANHIA DE DESENVOLVIMENTO DOS VALES DO SÃO FRANCISCO E DO PARNAÍBA</t>
  </si>
  <si>
    <t xml:space="preserve">                                                   2.ª GRD da 2ª SUPERINTENDÊNCIA REGIONAL- Bom Jesus da Lapa/Ba.</t>
  </si>
  <si>
    <t xml:space="preserve">ITEM </t>
  </si>
  <si>
    <t>DISCRIMINAÇÃO</t>
  </si>
  <si>
    <t>VALOR (R$)</t>
  </si>
  <si>
    <t>1º  Mês</t>
  </si>
  <si>
    <t>2º  Mês</t>
  </si>
  <si>
    <t>3º  Mês</t>
  </si>
  <si>
    <t>TOTAIS</t>
  </si>
  <si>
    <t>% DO ITEM</t>
  </si>
  <si>
    <t>TOTAL ACUMULADO</t>
  </si>
  <si>
    <t>% ACUMULADA</t>
  </si>
  <si>
    <t>MINISTÉRIO DO DESENVOLVIMENTO REGIONAL</t>
  </si>
  <si>
    <t>2.ª GRD da 2ª SUPERINTENDÊNCIA REGIONAL- Bom Jesus da Lapa/Ba.</t>
  </si>
  <si>
    <t xml:space="preserve">                          COMPANHIA DE DESENVOLVIMENTO DOS VALES DO SÃO FRANCISCO E DO PARNAÍBA</t>
  </si>
  <si>
    <t>área intertravado</t>
  </si>
  <si>
    <t>vol. De bota-fora</t>
  </si>
  <si>
    <t>esp. Base</t>
  </si>
  <si>
    <t>base</t>
  </si>
  <si>
    <t>2143,78 (área CBUQ) + 1330,68 (área intertravado)</t>
  </si>
  <si>
    <t>área cbuq</t>
  </si>
  <si>
    <t>2143,78 + 1330,68 (área da pavimentação intertravado)=</t>
  </si>
  <si>
    <t>esp. De bota-fora</t>
  </si>
  <si>
    <t>meio fio trecho reto</t>
  </si>
  <si>
    <t>meio fio trecho curvo</t>
  </si>
  <si>
    <t>escavação meio fio (área)</t>
  </si>
  <si>
    <t>(386,12+211,25)(soma dos meios fios reto e curvo) x 0,3 (largura da vala) x 0,20 (altura da vala)=</t>
  </si>
  <si>
    <t>escavação meio fio (volume)</t>
  </si>
  <si>
    <t>386,12 (conforme projeto)=</t>
  </si>
  <si>
    <t>211,25 (conforme projeto)=</t>
  </si>
  <si>
    <t xml:space="preserve">largura da vala </t>
  </si>
  <si>
    <t>35,84 (volume escavado) - ((386,12 + 211,25) x 0,14 (largura média do meio-fio) x 0,2 (altura da vala))</t>
  </si>
  <si>
    <t>reaterro meio fio</t>
  </si>
  <si>
    <t>0,2 (espessura da base) x 2143,78=</t>
  </si>
  <si>
    <t>428 x 5 (DMT da jazida)</t>
  </si>
  <si>
    <t>taxa de aplicação RR-1c</t>
  </si>
  <si>
    <t>t/m²</t>
  </si>
  <si>
    <t>2143,78 x 0,0013 (taxa de aplicação da emulsão asfáltica - t/m²)=</t>
  </si>
  <si>
    <t>taxa de aplicação cap 50/70</t>
  </si>
  <si>
    <t>t/m³</t>
  </si>
  <si>
    <t xml:space="preserve">concreto asfáltico </t>
  </si>
  <si>
    <t>2143,78=</t>
  </si>
  <si>
    <t xml:space="preserve">pintura de ligação </t>
  </si>
  <si>
    <t>densidade do CBUQ</t>
  </si>
  <si>
    <t>2143,78 x 0,05 (espessura CBUQ) x 0,133 (taxa de aplicação do CAP 50/70) - t/m³)</t>
  </si>
  <si>
    <t>rr-1C (1,3 l/m²)</t>
  </si>
  <si>
    <t>2143,78 x 0,05 (espessura CBUQ) x 2,425 (densidade do CBUQ)</t>
  </si>
  <si>
    <t>25=</t>
  </si>
  <si>
    <t>espesssura CBUQ</t>
  </si>
  <si>
    <t>365,85 (comp. Do meio-fio) x 0,1 (largura da valeta) x 0,13 ( altura da valeta)</t>
  </si>
  <si>
    <t>peso específico do solo</t>
  </si>
  <si>
    <t xml:space="preserve">365,85 (comp. Do meio-fio) x 0,1 (largura da valeta) </t>
  </si>
  <si>
    <t>distância da jazida</t>
  </si>
  <si>
    <t>km</t>
  </si>
  <si>
    <t>356,85 (conforme projeto)</t>
  </si>
  <si>
    <t>meio fio intertravado</t>
  </si>
  <si>
    <t>intertravado sextavado</t>
  </si>
  <si>
    <t>4,64 (escavação da vala) - (356,85 x 0,13 (altura da vala) x 0,065 (largura do meio-fio))</t>
  </si>
  <si>
    <t>escavação meio fio</t>
  </si>
  <si>
    <t>intertravado retangular</t>
  </si>
  <si>
    <t>790,04 (conforme projeto)=</t>
  </si>
  <si>
    <t xml:space="preserve">largura valeta </t>
  </si>
  <si>
    <t>487,87 (conforme projeto)=</t>
  </si>
  <si>
    <t>altura da valeta</t>
  </si>
  <si>
    <t xml:space="preserve">aterro </t>
  </si>
  <si>
    <t>227 (área do parquinho) x 0,20 ( espessura da camada de areia)=</t>
  </si>
  <si>
    <t xml:space="preserve">transporte aterro </t>
  </si>
  <si>
    <t>txkm</t>
  </si>
  <si>
    <t>conforme projeto</t>
  </si>
  <si>
    <t xml:space="preserve">área do parque </t>
  </si>
  <si>
    <t xml:space="preserve">(65 (comp. Fio 10 mm²) + 435 (comp. Fio 2,5 mm²)) x 0,4 (largura da vala) x 0,4 (altura da vala) </t>
  </si>
  <si>
    <t>espessura da camada areia</t>
  </si>
  <si>
    <t>(65 + 435) x 0,05 (espessura da camada) x 0,3 (altura da vala)</t>
  </si>
  <si>
    <t>80 (volume escavado) - (0,0015 (área do eletroduto) x (65 + 435)) - 10 (volume de areia)</t>
  </si>
  <si>
    <t>cabo de cobre 2,5</t>
  </si>
  <si>
    <t>cabo de cobre 10</t>
  </si>
  <si>
    <t xml:space="preserve">altura da vala </t>
  </si>
  <si>
    <t xml:space="preserve">reaterro </t>
  </si>
  <si>
    <t xml:space="preserve">área eletroduto </t>
  </si>
  <si>
    <t>conforme projeto (435 (comprimento total) x 2 (fase e neutro) + 100 (Postes e luminárias)</t>
  </si>
  <si>
    <t xml:space="preserve">escavação </t>
  </si>
  <si>
    <t>conforme projeto (65 (comprimento) x 4 (3 fases e 1 neutro))</t>
  </si>
  <si>
    <t>espessura da camada de areia</t>
  </si>
  <si>
    <t>(*) - Valores calculados diretamente no projeto.</t>
  </si>
  <si>
    <t>COMPANHIA DE DESENVOLVIMENTO DOS VALES DO SÃO FRANCISCO E DO PARNAÍBA</t>
  </si>
  <si>
    <t>MEMÓRIA DE CÁLCULO DOS MOMENTOS DE TRANSPORTE PARA MOBILIZAÇÃO E DESMOBILIZAÇÃO</t>
  </si>
  <si>
    <t>Cidade pólo</t>
  </si>
  <si>
    <t>Vitória da Conquista/Ba</t>
  </si>
  <si>
    <t>Cidade beneficiada</t>
  </si>
  <si>
    <t>Livramento de Nossa Senhora/Ba</t>
  </si>
  <si>
    <t>Dist. da Origem ao destino:</t>
  </si>
  <si>
    <t xml:space="preserve"> km</t>
  </si>
  <si>
    <t>Distância Total:</t>
  </si>
  <si>
    <t>Peso das máquinas:</t>
  </si>
  <si>
    <t>Grade de 24 discos rebocável de 24"</t>
  </si>
  <si>
    <t xml:space="preserve"> ton</t>
  </si>
  <si>
    <t xml:space="preserve">Motoniveladora </t>
  </si>
  <si>
    <t>Rolo compactador pé de carneiro vibratório</t>
  </si>
  <si>
    <t>Retroescavadeira</t>
  </si>
  <si>
    <t>Rolo compactador liso vibratório 10,4 t</t>
  </si>
  <si>
    <t xml:space="preserve">Viboracabadora de asfalto </t>
  </si>
  <si>
    <t>Total</t>
  </si>
  <si>
    <t xml:space="preserve"> t x km</t>
  </si>
  <si>
    <t>MEMÓRIA DE CÁLCULO - AQUISIÇÃO E TRANSPORTE DE MATERIAL ASFÁLTICO (RR-1C; CAP 50/70)</t>
  </si>
  <si>
    <t>REAJUSTE</t>
  </si>
  <si>
    <t>IMPOSTOS</t>
  </si>
  <si>
    <t>COFINS</t>
  </si>
  <si>
    <t>ÍNDICE INICIAL</t>
  </si>
  <si>
    <t>PIS</t>
  </si>
  <si>
    <t>LEGENDA</t>
  </si>
  <si>
    <t>ÍNDICE FINAL</t>
  </si>
  <si>
    <t xml:space="preserve"> ICMS</t>
  </si>
  <si>
    <t>ENTRADA DE DADOS</t>
  </si>
  <si>
    <t>eai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</si>
  <si>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</si>
  <si>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</si>
  <si>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</si>
  <si>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</si>
  <si>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</si>
  <si>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</si>
  <si>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</si>
  <si>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</si>
  <si>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</si>
  <si>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</si>
  <si>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</si>
  <si>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</si>
  <si>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</si>
  <si>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</si>
  <si>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TOTAL PRODUTO</t>
  </si>
  <si>
    <t>TOTAL GERAL</t>
  </si>
  <si>
    <t>EMPRESAS</t>
  </si>
  <si>
    <t>ENDEREÇO</t>
  </si>
  <si>
    <t>ORIGEM
DISTRIBUIDORAS</t>
  </si>
  <si>
    <t>DESTINO</t>
  </si>
  <si>
    <t>ESTADO</t>
  </si>
  <si>
    <t>REGIÃO</t>
  </si>
  <si>
    <t>R$/t</t>
  </si>
  <si>
    <t>KM</t>
  </si>
  <si>
    <t>CUSTO POR EIXO</t>
  </si>
  <si>
    <t>RR-2C</t>
  </si>
  <si>
    <t>Refinaria Landulpho Alves (RLAM)</t>
  </si>
  <si>
    <t>Rodovia BA 523, KM 4 – Mataripe São Francisco do Conde - BA CEP:43900-000</t>
  </si>
  <si>
    <t>SÃO FRANCISCO DO CONDE - BA</t>
  </si>
  <si>
    <t>Livramento de Nossa Senhora - BA</t>
  </si>
  <si>
    <t>CAP 50/70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</si>
  <si>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</si>
  <si>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</si>
  <si>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BDI (%):</t>
  </si>
  <si>
    <t>ENCARGOS SOCIAIS (%):</t>
  </si>
  <si>
    <t>CPU-01.A</t>
  </si>
  <si>
    <t>REF.</t>
  </si>
  <si>
    <t>ADMINISTRAÇÃO LOCAL (LIVRAMENTO)</t>
  </si>
  <si>
    <t>PRECO UNITÁRIO</t>
  </si>
  <si>
    <t>TOTAL (R$)</t>
  </si>
  <si>
    <t>COMPOSICAO</t>
  </si>
  <si>
    <t>ENCARREGADO GERAL COM ENCARGOS COMPLEMENTARES</t>
  </si>
  <si>
    <t>ENGENHEIRO CIVIL DE OBRA JUNIOR COM ENCARGOS COMPLEMENTARES</t>
  </si>
  <si>
    <t>H</t>
  </si>
  <si>
    <t>Sub total:</t>
  </si>
  <si>
    <t>Total para 3 meses:</t>
  </si>
  <si>
    <t>PREÇO UNITÁRIO TOTAL:</t>
  </si>
  <si>
    <t>MOBILIZAÇÃO / DESMOBILIZAÇÃO (LIVRAMENTO)</t>
  </si>
  <si>
    <t>E9667</t>
  </si>
  <si>
    <t>Caminhão basculante com capacidade de 14 m³ - 188 kW</t>
  </si>
  <si>
    <t>CHP</t>
  </si>
  <si>
    <t>E9509</t>
  </si>
  <si>
    <t>Caminhão tanque distribuidor de asfalto com capacidade de 6.000 l - 7 kW/136 kW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</si>
  <si>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</si>
  <si>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</si>
  <si>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</si>
  <si>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</si>
  <si>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</si>
  <si>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</si>
  <si>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</si>
  <si>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</si>
  <si>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</si>
  <si>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</si>
  <si>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</si>
  <si>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</si>
  <si>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</si>
  <si>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</si>
  <si>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</si>
  <si>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</si>
  <si>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</si>
  <si>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</si>
  <si>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</si>
  <si>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</si>
  <si>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</si>
  <si>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</si>
  <si>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</si>
  <si>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</si>
  <si>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</si>
  <si>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</si>
  <si>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</si>
  <si>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</si>
  <si>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Próprio</t>
  </si>
  <si>
    <t xml:space="preserve">EXECUÇÃO DE PAVIMENTO EM PISO INTERTRAVADO, COM BLOCO SEXTAVADO DE 25 X 25 CM, ESPESSURA 6 CM. </t>
  </si>
  <si>
    <t>UNID</t>
  </si>
  <si>
    <t>COEF.</t>
  </si>
  <si>
    <t>PRECO UNITÁRIO (R$)</t>
  </si>
  <si>
    <t>AREIA MEDIA - POSTO JAZIDA/FORNECEDOR (RETIRADO NA JAZIDA, SEM TRANSPORTE)</t>
  </si>
  <si>
    <t>0,0568000</t>
  </si>
  <si>
    <t>BLOQUETE/PISO INTERTRAVADO DE CONCRETO - MODELO SEXTAVADO / HEXAGONAL, 25 CM X 25 CM, E = 6 CM, RESISTENCIA DE 35 MPA (NBR 9781), COR NATURAL</t>
  </si>
  <si>
    <t>1,0174000</t>
  </si>
  <si>
    <t>PO DE PEDRA (POSTO PEDREIRA/FORNECEDOR, SEM FRETE)</t>
  </si>
  <si>
    <t>0,0064000</t>
  </si>
  <si>
    <t>CALCETEIRO COM ENCARGOS COMPLEMENTARES</t>
  </si>
  <si>
    <t>0,1853000</t>
  </si>
  <si>
    <t>COMPACTAÇÃO MANUAL DE PAVIMENTAÇÃO DE BLOCO DE CONCRETO INTERTRAVADO COM PLACA VIBRATÓRIA 400KG - 7 A 10 HP NÃO REVERSÍVEL</t>
  </si>
  <si>
    <t>91283</t>
  </si>
  <si>
    <t>CORTADORA DE PISO COM MOTOR 4 TEMPOS A GASOLINA, POTÊNCIA DE 13 HP, COM DISCO DE CORTE DIAMANTADO SEGMENTADO PARA CONCRETO, DIÂMETRO DE 350 MM, FURO DE 1" (14 X 1") - CHP DIURNO. AF_08/2015</t>
  </si>
  <si>
    <t>BDI</t>
  </si>
  <si>
    <t>Total Serviços:</t>
  </si>
  <si>
    <t xml:space="preserve">Próprio </t>
  </si>
  <si>
    <t xml:space="preserve">EXECUÇÃO DE PASSEIO EM PISO INTERTRAVADO, COM BLOCO RETANGULAR COLORIDO DE 20 X 10 CM, ESPESSURA 6 CM </t>
  </si>
  <si>
    <t>BLOQUETE/PISO INTERTRAVADO DE CONCRETO - MODELO ONDA/16 FACES/RETANGULAR/TIJOLINHO/PAVER/HOLANDÊS/PARALELEPÍPEDO, 20 X 10 CM, E = 6 CM, RESISTÊNCIA DE 35 MPA, COLORIDO</t>
  </si>
  <si>
    <t>CHI</t>
  </si>
  <si>
    <t>Próprio (orse 9209)</t>
  </si>
  <si>
    <t>Luminarias decorativas com chapeu refletor em aluminio, poste de 3 m, inclusive lampada de 250 w</t>
  </si>
  <si>
    <t>ELETRICISTA</t>
  </si>
  <si>
    <t>SERVENTE DE OBRAS</t>
  </si>
  <si>
    <t>LÂMPADA DE LUZ MISTA 250 W, BASE E27 (220V)</t>
  </si>
  <si>
    <t>CHUMBADOR DE ACO, DIAMETRO 5/8", COMPRIMENTO 6", COM PORCA</t>
  </si>
  <si>
    <t>POSTE DECORATIVO RETO, H = 3,00 M, EM FERRO GALVANIZADO INCLUSIVE BASE (LUMINANCE/TECNOLUX OU SIMILAR)</t>
  </si>
  <si>
    <t>LUMINÁRIA DECORATIVA EXTERNA, REF.CW-200/3, C/ DIFUSOR EM ACRÍLICO LEITOSO COM CHAPÉU REFLETOR EM ALUMÍNIO PINTADO EM EPOXI (LUMINANCE/TECNOLUX OU SIMILAR)</t>
  </si>
  <si>
    <t>AJUDANTE DE CARPINTEIRO COM ENCARGOS COMPLEMENTARES</t>
  </si>
  <si>
    <t xml:space="preserve">SINAPI </t>
  </si>
  <si>
    <t>CONCRETO FCK = 20MPA, TRAÇO 1:2,7:3 (EM MASSA SECA DE CIMENTO/ AREIA MÉDIA/ BRITA 1) - PREPARO MECÂNICO COM BETONEIRA 400 L. AF_05/2021</t>
  </si>
  <si>
    <t>ARMAÇÃO DE PILAR OU VIGA DE UMA ESTRUTURA CONVENCIONAL DE CONCRETO ARMADO</t>
  </si>
  <si>
    <t xml:space="preserve">Pintura verniz (incolor) alquídico em madeira, duas demãos </t>
  </si>
  <si>
    <t>ESCAVAÇÃO MANUAL DE VALA COM PROFUNDIDADE MENOR IGUAL 1,3 M.</t>
  </si>
  <si>
    <t>9677 - ADAPTADO</t>
  </si>
  <si>
    <t>CONJUNTO DE 4 LIXEIRAS EM FIBRA DE VIDRO, COM CAPACIDADE DE 25 L CADA, COM TAMPA VAI E VEM</t>
  </si>
  <si>
    <t>Banco em concreto (pés), com assento e encosto de madeira</t>
  </si>
  <si>
    <t>PARAFUSO FRANCÊS, COMPRIMENTO = 150 MM, DIÂMETRO 16 MM, CABEÇA ABAULADA</t>
  </si>
  <si>
    <t xml:space="preserve">FORMA METÁLICA PARA PRÉ-MOLDADOS, EM CHAPA E PERFIS DE AÇO, 120 USOS </t>
  </si>
  <si>
    <t>VIGA APARELHADA 0,05 X 0,12 M, EM MAÇARANDUBA, ANGELIM OU EQUIVALENTE</t>
  </si>
  <si>
    <t xml:space="preserve">Parque infantil - fornecimento e instalação </t>
  </si>
  <si>
    <t xml:space="preserve">ESCORREGADEIRA EM AÇO CARBONO COM 2 M DE PISTA </t>
  </si>
  <si>
    <t>GANGORRA COM 3 PRANCHAS EM AÇO INDUSTRIAL OU MADEIRA</t>
  </si>
  <si>
    <t>BRINQUEDO GIRA-GIRA (CARROSSEL DIAM. = 1,70 M) EM TUBO DE FERRO GALVANIZADO 1 1/2" E ASSENTO EM CHAPA GALVANIZADA E= 1/4"</t>
  </si>
  <si>
    <t>BALANÇO COM 3 LUGARES EM AÇO INDUSTRIAL OU MADEIRA</t>
  </si>
  <si>
    <t>E9605</t>
  </si>
  <si>
    <t>CAMINHÃO PIPA 6.000 L.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</si>
  <si>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</si>
  <si>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</si>
  <si>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E9685</t>
  </si>
  <si>
    <t>ROLO COMPACTADOR VIBRATÓRIO PÉ DE CARNEIRO PARA SOLOS, AUTOPROPELIDO POR PNEUS DE 11,6 T</t>
  </si>
  <si>
    <t>REGULARIZAÇÃO E COMPACTAÇÃO DE SUBLEITO DE SOLO PREDOMINANTEMENTE ARGILOSO</t>
  </si>
  <si>
    <t>ROLO COMPACTADOR VIBRATÓRIO PÉ DE CARNEIRO PARA SOLOS, POTÊNCIA 80 HP, PESO OPERACIONAL SEM/COM LASTRO 7,4 / 8,8 T, LARGURA DE TRABALHO 1,68 M - CHI DIURNO. AF_02/2016</t>
  </si>
  <si>
    <t>OBRA:</t>
  </si>
  <si>
    <t>Obras rodoviárias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</si>
  <si>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</si>
  <si>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</si>
  <si>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</si>
  <si>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</si>
  <si>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</si>
  <si>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</si>
  <si>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</si>
  <si>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</si>
  <si>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</si>
  <si>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</si>
  <si>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</si>
  <si>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</si>
  <si>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</si>
  <si>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</si>
  <si>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</si>
  <si>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</si>
  <si>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</si>
  <si>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</si>
  <si>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</si>
  <si>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</si>
  <si>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</si>
  <si>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</si>
  <si>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</si>
  <si>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</si>
  <si>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</si>
  <si>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</si>
  <si>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</si>
  <si>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</si>
  <si>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</si>
  <si>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</si>
  <si>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</si>
  <si>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</si>
  <si>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</si>
  <si>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</si>
  <si>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</si>
  <si>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</si>
  <si>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</si>
  <si>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</si>
  <si>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</si>
  <si>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</si>
  <si>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</si>
  <si>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</si>
  <si>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</si>
  <si>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</si>
  <si>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</si>
  <si>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</si>
  <si>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</si>
  <si>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</si>
  <si>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</si>
  <si>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</si>
  <si>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</si>
  <si>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</si>
  <si>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</si>
  <si>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</si>
  <si>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</si>
  <si>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</si>
  <si>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</si>
  <si>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</si>
  <si>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</si>
  <si>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</si>
  <si>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</si>
  <si>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</si>
  <si>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</si>
  <si>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</si>
  <si>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</si>
  <si>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</si>
  <si>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</si>
  <si>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</si>
  <si>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</si>
  <si>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</si>
  <si>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</si>
  <si>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</si>
  <si>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</si>
  <si>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</si>
  <si>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</si>
  <si>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</si>
  <si>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</si>
  <si>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</si>
  <si>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</si>
  <si>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</si>
  <si>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</si>
  <si>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</si>
  <si>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</si>
  <si>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</si>
  <si>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</si>
  <si>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</si>
  <si>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</si>
  <si>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</si>
  <si>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</si>
  <si>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</si>
  <si>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</si>
  <si>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</si>
  <si>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</si>
  <si>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</si>
  <si>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</si>
  <si>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</si>
  <si>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</si>
  <si>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</si>
  <si>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</si>
  <si>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</si>
  <si>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</si>
  <si>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</si>
  <si>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</si>
  <si>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</si>
  <si>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</si>
  <si>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</si>
  <si>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PLANILHA ORÇAMENTÁRIA - LIVRAMENTO DE NOSSA SENHORA - LOTE 04</t>
  </si>
  <si>
    <t>CRONOGRAMA FÍSICO/FINANCEIRO - LIVRAMENTO DE NOSSA SENHORA - LOTE 04</t>
  </si>
  <si>
    <t>SINAPI: OUTBRO/2021; ORSE: SETEMBRO/2021; SICRO: JULHO/2021</t>
  </si>
  <si>
    <t>MEMÓRIA DE CÁLCULO - LIVRAMENTO DE NOSSA SENHORA - LOTE 04</t>
  </si>
  <si>
    <t xml:space="preserve">LOTE 04 - LIVRAMENTO DE NOSSA SENHORA </t>
  </si>
  <si>
    <t xml:space="preserve">                 MINISTÉRIO DO DESENVOLVIMENTO REGIONAL</t>
  </si>
  <si>
    <t>MEMÓRIA DE CALCULO DO BDI  DOS SERVIÇOS - NÃO DESONERADO</t>
  </si>
  <si>
    <t>BDI APLICADO NA OBRA (SEM RISCO, SEGURO E GARANTIA)</t>
  </si>
  <si>
    <t>PLANILHA DE DETALHAMENTO DO BDI - PRAÇAS</t>
  </si>
  <si>
    <t>DETALHAMENTO DOS ENCARGOS SOCIAIS (%) - PRAÇAS</t>
  </si>
  <si>
    <t xml:space="preserve">                      MINISTÉRIO DO DESENVOLVIMENTO REGIONAL</t>
  </si>
  <si>
    <t>PLANILHA COMPOSIÇÕES DE PREÇOS - PRAÇA LIVRAMENTO - LOTE 04</t>
  </si>
  <si>
    <t xml:space="preserve">LOCAL: </t>
  </si>
  <si>
    <t xml:space="preserve">DATA BASE: </t>
  </si>
  <si>
    <t>Atualização em 2021.</t>
  </si>
  <si>
    <t>Item</t>
  </si>
  <si>
    <t>Descrição dos serviços</t>
  </si>
  <si>
    <t>Preço de Venda (%)</t>
  </si>
  <si>
    <t>Custo Direto (%)</t>
  </si>
  <si>
    <t>Administração Central (A)</t>
  </si>
  <si>
    <t>Impostos e Taxas (I)</t>
  </si>
  <si>
    <t>2.3</t>
  </si>
  <si>
    <t>Cofins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</si>
  <si>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</si>
  <si>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</si>
  <si>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</si>
  <si>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</si>
  <si>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</si>
  <si>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</si>
  <si>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</si>
  <si>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 xml:space="preserve">BDI FORN. MATERIAIS:                                               </t>
  </si>
  <si>
    <t xml:space="preserve">DETALHAMENTO DO BDI - LIVRAMENTO DE NOSSA SENHORA </t>
  </si>
  <si>
    <t>FORNECIMENTO DE MATERIAIS</t>
  </si>
  <si>
    <t>LIVRAMENTO DE NOSSA SENHORA/BA</t>
  </si>
  <si>
    <t>SINAPI - OUTUBRO/2021; ORSE - SETEMBRO/2021; SICRO JULHO/2021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</si>
</sst>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"/>
    <numFmt numFmtId="165" formatCode="_(&quot;R$ &quot;* #,##0.00_);_(&quot;R$ &quot;* \(#,##0.00\);_(&quot;R$ &quot;* &quot;-&quot;??_);_(@_)"/>
    <numFmt numFmtId="166" formatCode="&quot;R$&quot;\ #,##0.00"/>
    <numFmt numFmtId="167" formatCode="#,##0.00_ ;[Red]\-#,##0.00\ "/>
    <numFmt numFmtId="168" formatCode="#,##0.00\ ;&quot; (&quot;#,##0.00\);&quot; -&quot;#\ ;@\ "/>
    <numFmt numFmtId="169" formatCode="_(* #,##0.00_);_(* \(#,##0.00\);_(* &quot;-&quot;??_);_(@_)"/>
    <numFmt numFmtId="170" formatCode="#,##0.0000000"/>
    <numFmt numFmtId="171" formatCode="#,##0.0000"/>
    <numFmt numFmtId="172" formatCode="#,##0_ ;[Red]\-#,##0\ "/>
    <numFmt numFmtId="173" formatCode="0.0000"/>
    <numFmt numFmtId="174" formatCode="0.00000"/>
    <numFmt numFmtId="175" formatCode="&quot;R$&quot;#,##0.00_);[Red]\(&quot;R$&quot;#,##0.00\)"/>
  </numFmts>
  <fonts count="64">
    <font>
      <sz val="1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b/>
      <sz val="11"/>
      <name val="Arial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name val="Arial"/>
    </font>
    <font>
      <sz val="12"/>
      <name val="Arial"/>
    </font>
    <font>
      <b/>
      <sz val="12"/>
      <name val="Arial"/>
    </font>
    <font>
      <b/>
      <sz val="9"/>
      <name val="Arial"/>
      <charset val="134"/>
    </font>
    <font>
      <b/>
      <sz val="16"/>
      <name val="Arial"/>
      <charset val="134"/>
    </font>
    <font>
      <sz val="11"/>
      <name val="Arial"/>
      <charset val="134"/>
    </font>
    <font>
      <sz val="12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b/>
      <sz val="12"/>
      <color rgb="FF000000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4"/>
      <color theme="1"/>
      <name val="Arial"/>
      <charset val="134"/>
    </font>
    <font>
      <b/>
      <sz val="22"/>
      <color theme="1"/>
      <name val="Arial"/>
      <charset val="134"/>
    </font>
    <font>
      <sz val="14"/>
      <name val="Petrobras_sansxbold"/>
      <charset val="134"/>
    </font>
    <font>
      <sz val="14"/>
      <name val="Arial"/>
      <charset val="134"/>
    </font>
    <font>
      <sz val="14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b/>
      <sz val="11"/>
      <color theme="1"/>
      <name val="Arial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b/>
      <sz val="12"/>
      <name val="MonoMM1_ZeroNormal"/>
      <charset val="134"/>
    </font>
    <font>
      <sz val="10"/>
      <name val="MonoMM1_ZeroNormal"/>
      <charset val="134"/>
    </font>
    <font>
      <sz val="11"/>
      <color indexed="8"/>
      <name val="Arial Narrow"/>
      <charset val="134"/>
    </font>
    <font>
      <sz val="8"/>
      <name val="Arial"/>
      <charset val="134"/>
    </font>
    <font>
      <sz val="10"/>
      <color rgb="FFFF0000"/>
      <name val="Arial"/>
      <charset val="134"/>
    </font>
    <font>
      <b/>
      <sz val="11"/>
      <color indexed="8"/>
      <name val="Arial Narrow"/>
      <charset val="134"/>
    </font>
    <font>
      <b/>
      <sz val="14"/>
      <color rgb="FFFF0000"/>
      <name val="Arial"/>
      <charset val="134"/>
    </font>
    <font>
      <b/>
      <sz val="11"/>
      <name val="MonoMM1_ZeroNormal"/>
      <charset val="134"/>
    </font>
    <font>
      <sz val="11"/>
      <color theme="1"/>
      <name val="Calibri"/>
      <charset val="134"/>
      <scheme val="minor"/>
    </font>
    <font>
      <sz val="10"/>
      <name val="Arial"/>
    </font>
    <font>
      <sz val="10"/>
      <name val="MS Sans Serif"/>
      <charset val="134"/>
    </font>
    <font>
      <sz val="11"/>
      <color rgb="FF000000"/>
      <name val="Calibri"/>
      <charset val="134"/>
    </font>
    <font>
      <sz val="9"/>
      <name val="Tahoma"/>
      <charset val="134"/>
    </font>
    <font>
      <b/>
      <sz val="9"/>
      <name val="Tahoma"/>
      <charset val="134"/>
    </font>
    <font>
      <sz val="10"/>
      <name val="Arial"/>
      <charset val="134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14993743705557422"/>
        <bgColor rgb="FF000000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22"/>
        <bgColor indexed="31"/>
      </patternFill>
    </fill>
  </fills>
  <borders count="1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/>
    <xf numFmtId="16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0" fontId="60" fillId="0" borderId="0"/>
    <xf numFmtId="165" fontId="60" fillId="0" borderId="0" applyFont="0" applyFill="0" applyBorder="0" applyAlignment="0" applyProtection="0"/>
    <xf numFmtId="0" fontId="56" fillId="0" borderId="0"/>
    <xf numFmtId="169" fontId="55" fillId="0" borderId="0" applyFont="0" applyFill="0" applyBorder="0" applyAlignment="0" applyProtection="0"/>
    <xf numFmtId="0" fontId="60" fillId="0" borderId="0"/>
    <xf numFmtId="169" fontId="60" fillId="0" borderId="0" applyFont="0" applyFill="0" applyBorder="0" applyAlignment="0" applyProtection="0"/>
    <xf numFmtId="0" fontId="60" fillId="0" borderId="0"/>
    <xf numFmtId="0" fontId="54" fillId="0" borderId="0"/>
    <xf numFmtId="0" fontId="54" fillId="0" borderId="0"/>
    <xf numFmtId="43" fontId="54" fillId="0" borderId="0" applyFont="0" applyFill="0" applyBorder="0" applyAlignment="0" applyProtection="0"/>
    <xf numFmtId="0" fontId="57" fillId="0" borderId="0"/>
    <xf numFmtId="9" fontId="6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60" fillId="0" borderId="0"/>
  </cellStyleXfs>
  <cellXfs count="6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0" fontId="3" fillId="0" borderId="9" xfId="0" applyNumberFormat="1" applyFont="1" applyBorder="1" applyAlignment="1">
      <alignment vertical="center"/>
    </xf>
    <xf numFmtId="0" fontId="2" fillId="0" borderId="0" xfId="4" applyFont="1"/>
    <xf numFmtId="0" fontId="6" fillId="0" borderId="9" xfId="14" applyFont="1" applyFill="1" applyBorder="1" applyAlignment="1">
      <alignment horizontal="center" vertical="center" wrapText="1"/>
    </xf>
    <xf numFmtId="0" fontId="6" fillId="0" borderId="9" xfId="14" applyFont="1" applyFill="1" applyBorder="1" applyAlignment="1">
      <alignment horizontal="justify" vertical="center" wrapText="1"/>
    </xf>
    <xf numFmtId="0" fontId="6" fillId="0" borderId="16" xfId="14" applyFont="1" applyFill="1" applyBorder="1" applyAlignment="1">
      <alignment horizontal="center" vertical="center" wrapText="1"/>
    </xf>
    <xf numFmtId="170" fontId="6" fillId="0" borderId="16" xfId="5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0" fontId="8" fillId="0" borderId="21" xfId="10" applyNumberFormat="1" applyFont="1" applyBorder="1" applyAlignment="1">
      <alignment vertical="center"/>
    </xf>
    <xf numFmtId="0" fontId="8" fillId="0" borderId="21" xfId="10" applyFont="1" applyBorder="1" applyAlignment="1">
      <alignment horizontal="right" vertical="center"/>
    </xf>
    <xf numFmtId="10" fontId="8" fillId="0" borderId="22" xfId="10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8" fillId="0" borderId="23" xfId="10" applyFont="1" applyBorder="1" applyAlignment="1">
      <alignment horizontal="right" vertical="center"/>
    </xf>
    <xf numFmtId="10" fontId="8" fillId="0" borderId="24" xfId="10" applyNumberFormat="1" applyFont="1" applyBorder="1" applyAlignment="1">
      <alignment horizontal="right" vertical="center"/>
    </xf>
    <xf numFmtId="0" fontId="7" fillId="5" borderId="26" xfId="0" applyFont="1" applyFill="1" applyBorder="1" applyAlignment="1">
      <alignment horizontal="center" vertical="center"/>
    </xf>
    <xf numFmtId="0" fontId="9" fillId="2" borderId="26" xfId="14" applyFont="1" applyFill="1" applyBorder="1" applyAlignment="1">
      <alignment horizontal="center" vertical="center" wrapText="1"/>
    </xf>
    <xf numFmtId="0" fontId="6" fillId="0" borderId="16" xfId="14" applyFont="1" applyFill="1" applyBorder="1" applyAlignment="1">
      <alignment horizontal="justify" vertical="center" wrapText="1"/>
    </xf>
    <xf numFmtId="0" fontId="0" fillId="0" borderId="9" xfId="4" applyFont="1" applyFill="1" applyBorder="1" applyAlignment="1">
      <alignment horizontal="center" vertical="center"/>
    </xf>
    <xf numFmtId="0" fontId="6" fillId="0" borderId="16" xfId="14" applyFont="1" applyFill="1" applyBorder="1" applyAlignment="1">
      <alignment horizontal="justify" vertical="center"/>
    </xf>
    <xf numFmtId="0" fontId="10" fillId="0" borderId="0" xfId="0" applyFont="1" applyFill="1" applyBorder="1" applyAlignment="1"/>
    <xf numFmtId="0" fontId="10" fillId="0" borderId="28" xfId="8" applyFont="1" applyFill="1" applyBorder="1" applyAlignment="1"/>
    <xf numFmtId="0" fontId="10" fillId="0" borderId="29" xfId="8" applyFont="1" applyFill="1" applyBorder="1" applyAlignment="1"/>
    <xf numFmtId="0" fontId="10" fillId="0" borderId="30" xfId="8" applyFont="1" applyFill="1" applyBorder="1" applyAlignment="1"/>
    <xf numFmtId="0" fontId="10" fillId="0" borderId="31" xfId="8" applyFont="1" applyFill="1" applyBorder="1" applyAlignment="1"/>
    <xf numFmtId="0" fontId="10" fillId="0" borderId="0" xfId="8" applyFont="1" applyFill="1" applyBorder="1" applyAlignment="1"/>
    <xf numFmtId="0" fontId="10" fillId="0" borderId="32" xfId="8" applyFont="1" applyFill="1" applyBorder="1" applyAlignment="1"/>
    <xf numFmtId="0" fontId="10" fillId="0" borderId="33" xfId="8" applyFont="1" applyFill="1" applyBorder="1" applyAlignment="1"/>
    <xf numFmtId="0" fontId="10" fillId="0" borderId="25" xfId="8" applyFont="1" applyFill="1" applyBorder="1" applyAlignment="1"/>
    <xf numFmtId="0" fontId="10" fillId="0" borderId="26" xfId="8" applyFont="1" applyFill="1" applyBorder="1" applyAlignment="1"/>
    <xf numFmtId="0" fontId="10" fillId="0" borderId="34" xfId="8" applyFont="1" applyFill="1" applyBorder="1" applyAlignment="1"/>
    <xf numFmtId="0" fontId="12" fillId="0" borderId="26" xfId="10" applyFont="1" applyFill="1" applyBorder="1" applyAlignment="1">
      <alignment horizontal="center" vertical="center"/>
    </xf>
    <xf numFmtId="0" fontId="11" fillId="0" borderId="31" xfId="8" applyFont="1" applyFill="1" applyBorder="1" applyAlignment="1"/>
    <xf numFmtId="0" fontId="12" fillId="0" borderId="33" xfId="10" applyFont="1" applyFill="1" applyBorder="1" applyAlignment="1">
      <alignment horizontal="center" vertical="center"/>
    </xf>
    <xf numFmtId="0" fontId="11" fillId="0" borderId="42" xfId="10" applyFont="1" applyFill="1" applyBorder="1" applyAlignment="1">
      <alignment horizontal="center"/>
    </xf>
    <xf numFmtId="0" fontId="11" fillId="0" borderId="20" xfId="10" applyFont="1" applyFill="1" applyBorder="1" applyAlignment="1"/>
    <xf numFmtId="168" fontId="11" fillId="6" borderId="20" xfId="10" applyNumberFormat="1" applyFont="1" applyFill="1" applyBorder="1" applyAlignment="1">
      <alignment horizontal="center" vertical="center"/>
    </xf>
    <xf numFmtId="168" fontId="11" fillId="6" borderId="43" xfId="10" applyNumberFormat="1" applyFont="1" applyFill="1" applyBorder="1" applyAlignment="1">
      <alignment horizontal="center" vertical="center"/>
    </xf>
    <xf numFmtId="0" fontId="11" fillId="0" borderId="44" xfId="10" applyFont="1" applyFill="1" applyBorder="1" applyAlignment="1">
      <alignment horizontal="center"/>
    </xf>
    <xf numFmtId="0" fontId="11" fillId="0" borderId="17" xfId="10" applyFont="1" applyFill="1" applyBorder="1" applyAlignment="1"/>
    <xf numFmtId="168" fontId="11" fillId="6" borderId="17" xfId="10" applyNumberFormat="1" applyFont="1" applyFill="1" applyBorder="1" applyAlignment="1">
      <alignment horizontal="center" vertical="center"/>
    </xf>
    <xf numFmtId="168" fontId="11" fillId="6" borderId="45" xfId="10" applyNumberFormat="1" applyFont="1" applyFill="1" applyBorder="1" applyAlignment="1">
      <alignment horizontal="center" vertical="center"/>
    </xf>
    <xf numFmtId="0" fontId="11" fillId="0" borderId="46" xfId="10" applyFont="1" applyFill="1" applyBorder="1" applyAlignment="1">
      <alignment horizontal="center"/>
    </xf>
    <xf numFmtId="0" fontId="11" fillId="0" borderId="15" xfId="10" applyFont="1" applyFill="1" applyBorder="1" applyAlignment="1"/>
    <xf numFmtId="168" fontId="11" fillId="6" borderId="15" xfId="10" applyNumberFormat="1" applyFont="1" applyFill="1" applyBorder="1" applyAlignment="1">
      <alignment horizontal="center" vertical="center"/>
    </xf>
    <xf numFmtId="168" fontId="11" fillId="6" borderId="47" xfId="10" applyNumberFormat="1" applyFont="1" applyFill="1" applyBorder="1" applyAlignment="1">
      <alignment horizontal="center" vertical="center"/>
    </xf>
    <xf numFmtId="0" fontId="12" fillId="0" borderId="9" xfId="10" applyFont="1" applyFill="1" applyBorder="1" applyAlignment="1">
      <alignment vertical="center"/>
    </xf>
    <xf numFmtId="168" fontId="12" fillId="7" borderId="9" xfId="10" applyNumberFormat="1" applyFont="1" applyFill="1" applyBorder="1" applyAlignment="1">
      <alignment horizontal="center" vertical="center"/>
    </xf>
    <xf numFmtId="168" fontId="12" fillId="7" borderId="41" xfId="10" applyNumberFormat="1" applyFont="1" applyFill="1" applyBorder="1" applyAlignment="1">
      <alignment horizontal="center" vertical="center"/>
    </xf>
    <xf numFmtId="0" fontId="11" fillId="0" borderId="46" xfId="10" applyFont="1" applyFill="1" applyBorder="1" applyAlignment="1">
      <alignment horizontal="center" vertical="center"/>
    </xf>
    <xf numFmtId="0" fontId="11" fillId="0" borderId="15" xfId="10" applyFont="1" applyFill="1" applyBorder="1" applyAlignment="1">
      <alignment horizontal="justify" vertical="center" wrapText="1"/>
    </xf>
    <xf numFmtId="168" fontId="12" fillId="7" borderId="49" xfId="10" applyNumberFormat="1" applyFont="1" applyFill="1" applyBorder="1" applyAlignment="1">
      <alignment horizontal="center" vertical="center"/>
    </xf>
    <xf numFmtId="10" fontId="12" fillId="7" borderId="49" xfId="10" applyNumberFormat="1" applyFont="1" applyFill="1" applyBorder="1" applyAlignment="1">
      <alignment horizontal="center" vertical="center"/>
    </xf>
    <xf numFmtId="10" fontId="12" fillId="7" borderId="50" xfId="10" applyNumberFormat="1" applyFont="1" applyFill="1" applyBorder="1" applyAlignment="1">
      <alignment horizontal="center" vertical="center"/>
    </xf>
    <xf numFmtId="0" fontId="11" fillId="0" borderId="0" xfId="8" applyFont="1" applyFill="1" applyBorder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33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49" fontId="17" fillId="9" borderId="31" xfId="12" applyNumberFormat="1" applyFont="1" applyFill="1" applyBorder="1" applyAlignment="1">
      <alignment horizontal="center" vertical="center"/>
    </xf>
    <xf numFmtId="49" fontId="17" fillId="9" borderId="0" xfId="12" applyNumberFormat="1" applyFont="1" applyFill="1" applyBorder="1" applyAlignment="1">
      <alignment horizontal="center" vertical="center"/>
    </xf>
    <xf numFmtId="0" fontId="18" fillId="0" borderId="0" xfId="12" applyFont="1" applyBorder="1"/>
    <xf numFmtId="0" fontId="13" fillId="9" borderId="0" xfId="12" applyFont="1" applyFill="1" applyBorder="1" applyAlignment="1">
      <alignment horizontal="center" vertical="center"/>
    </xf>
    <xf numFmtId="0" fontId="13" fillId="0" borderId="48" xfId="12" applyFont="1" applyFill="1" applyBorder="1" applyAlignment="1">
      <alignment horizontal="center" vertical="center"/>
    </xf>
    <xf numFmtId="0" fontId="0" fillId="0" borderId="0" xfId="12" applyFont="1" applyBorder="1" applyAlignment="1">
      <alignment vertical="center"/>
    </xf>
    <xf numFmtId="169" fontId="2" fillId="0" borderId="64" xfId="12" applyNumberFormat="1" applyFont="1" applyFill="1" applyBorder="1" applyAlignment="1">
      <alignment horizontal="center" vertical="center" wrapText="1"/>
    </xf>
    <xf numFmtId="0" fontId="2" fillId="0" borderId="0" xfId="12" applyFont="1" applyFill="1" applyBorder="1" applyAlignment="1">
      <alignment horizontal="justify" vertical="center" wrapText="1"/>
    </xf>
    <xf numFmtId="0" fontId="2" fillId="0" borderId="64" xfId="12" applyFont="1" applyFill="1" applyBorder="1" applyAlignment="1">
      <alignment horizontal="justify" vertical="center" wrapText="1"/>
    </xf>
    <xf numFmtId="0" fontId="0" fillId="0" borderId="33" xfId="12" applyFont="1" applyBorder="1" applyAlignment="1">
      <alignment horizontal="center" vertical="center"/>
    </xf>
    <xf numFmtId="0" fontId="0" fillId="0" borderId="9" xfId="12" applyFont="1" applyFill="1" applyBorder="1" applyAlignment="1">
      <alignment vertical="center"/>
    </xf>
    <xf numFmtId="10" fontId="0" fillId="10" borderId="41" xfId="13" applyNumberFormat="1" applyFont="1" applyFill="1" applyBorder="1" applyAlignment="1" applyProtection="1">
      <alignment horizontal="center" vertical="center"/>
      <protection locked="0"/>
    </xf>
    <xf numFmtId="10" fontId="0" fillId="0" borderId="0" xfId="13" applyNumberFormat="1" applyFont="1" applyBorder="1" applyAlignment="1">
      <alignment horizontal="center" vertical="center"/>
    </xf>
    <xf numFmtId="10" fontId="0" fillId="0" borderId="33" xfId="13" applyNumberFormat="1" applyFont="1" applyBorder="1" applyAlignment="1">
      <alignment horizontal="center" vertical="center"/>
    </xf>
    <xf numFmtId="10" fontId="2" fillId="0" borderId="50" xfId="13" applyNumberFormat="1" applyFont="1" applyBorder="1" applyAlignment="1">
      <alignment horizontal="center" vertical="center"/>
    </xf>
    <xf numFmtId="10" fontId="2" fillId="0" borderId="0" xfId="13" applyNumberFormat="1" applyFont="1" applyBorder="1" applyAlignment="1">
      <alignment horizontal="center" vertical="center"/>
    </xf>
    <xf numFmtId="10" fontId="0" fillId="0" borderId="48" xfId="13" applyNumberFormat="1" applyFont="1" applyBorder="1" applyAlignment="1">
      <alignment horizontal="center" vertical="center"/>
    </xf>
    <xf numFmtId="0" fontId="0" fillId="0" borderId="0" xfId="12" applyFont="1" applyBorder="1" applyAlignment="1">
      <alignment horizontal="center" vertical="center"/>
    </xf>
    <xf numFmtId="10" fontId="0" fillId="0" borderId="64" xfId="13" applyNumberFormat="1" applyFont="1" applyBorder="1" applyAlignment="1">
      <alignment horizontal="center" vertical="center"/>
    </xf>
    <xf numFmtId="0" fontId="0" fillId="0" borderId="71" xfId="12" applyFont="1" applyBorder="1" applyAlignment="1">
      <alignment horizontal="center" vertical="center"/>
    </xf>
    <xf numFmtId="10" fontId="0" fillId="10" borderId="74" xfId="13" applyNumberFormat="1" applyFont="1" applyFill="1" applyBorder="1" applyAlignment="1" applyProtection="1">
      <alignment horizontal="center" vertical="center"/>
      <protection locked="0"/>
    </xf>
    <xf numFmtId="10" fontId="2" fillId="0" borderId="0" xfId="13" applyNumberFormat="1" applyFont="1" applyBorder="1" applyAlignment="1">
      <alignment horizontal="center" vertical="center" wrapText="1"/>
    </xf>
    <xf numFmtId="10" fontId="0" fillId="0" borderId="77" xfId="13" applyNumberFormat="1" applyFont="1" applyBorder="1" applyAlignment="1">
      <alignment horizontal="center" vertical="center"/>
    </xf>
    <xf numFmtId="0" fontId="0" fillId="0" borderId="13" xfId="12" applyFont="1" applyFill="1" applyBorder="1" applyAlignment="1">
      <alignment vertical="center"/>
    </xf>
    <xf numFmtId="10" fontId="0" fillId="9" borderId="0" xfId="13" applyNumberFormat="1" applyFont="1" applyFill="1" applyBorder="1" applyAlignment="1">
      <alignment vertical="center"/>
    </xf>
    <xf numFmtId="10" fontId="0" fillId="0" borderId="0" xfId="13" applyNumberFormat="1" applyFont="1" applyBorder="1" applyAlignment="1">
      <alignment vertical="center"/>
    </xf>
    <xf numFmtId="0" fontId="0" fillId="0" borderId="0" xfId="12" applyFont="1" applyFill="1" applyBorder="1" applyAlignment="1">
      <alignment horizontal="center" vertical="center"/>
    </xf>
    <xf numFmtId="169" fontId="2" fillId="0" borderId="31" xfId="12" applyNumberFormat="1" applyFont="1" applyFill="1" applyBorder="1" applyAlignment="1">
      <alignment horizontal="center" vertical="center" wrapText="1"/>
    </xf>
    <xf numFmtId="169" fontId="0" fillId="0" borderId="0" xfId="12" applyNumberFormat="1" applyFont="1" applyBorder="1" applyAlignment="1">
      <alignment vertical="center"/>
    </xf>
    <xf numFmtId="0" fontId="0" fillId="0" borderId="31" xfId="12" applyFont="1" applyFill="1" applyBorder="1" applyAlignment="1">
      <alignment horizontal="center" vertical="center"/>
    </xf>
    <xf numFmtId="0" fontId="2" fillId="0" borderId="0" xfId="12" applyFont="1" applyFill="1" applyBorder="1" applyAlignment="1">
      <alignment horizontal="center" vertical="center"/>
    </xf>
    <xf numFmtId="0" fontId="0" fillId="0" borderId="31" xfId="12" applyFont="1" applyFill="1" applyBorder="1" applyAlignment="1">
      <alignment horizontal="right" vertical="center"/>
    </xf>
    <xf numFmtId="0" fontId="0" fillId="0" borderId="0" xfId="12" applyFont="1" applyFill="1" applyBorder="1" applyAlignment="1">
      <alignment horizontal="right" vertical="center"/>
    </xf>
    <xf numFmtId="165" fontId="21" fillId="0" borderId="0" xfId="13" applyNumberFormat="1" applyFont="1" applyBorder="1" applyAlignment="1">
      <alignment vertical="center"/>
    </xf>
    <xf numFmtId="10" fontId="1" fillId="0" borderId="0" xfId="12" applyNumberFormat="1" applyFont="1" applyFill="1" applyBorder="1" applyAlignment="1">
      <alignment vertical="center"/>
    </xf>
    <xf numFmtId="10" fontId="1" fillId="0" borderId="52" xfId="12" applyNumberFormat="1" applyFont="1" applyFill="1" applyBorder="1" applyAlignment="1">
      <alignment vertical="center"/>
    </xf>
    <xf numFmtId="10" fontId="0" fillId="0" borderId="52" xfId="13" applyNumberFormat="1" applyFont="1" applyBorder="1" applyAlignment="1">
      <alignment vertical="center"/>
    </xf>
    <xf numFmtId="0" fontId="18" fillId="0" borderId="32" xfId="12" applyFont="1" applyBorder="1"/>
    <xf numFmtId="0" fontId="0" fillId="0" borderId="0" xfId="0" applyAlignment="1">
      <alignment horizontal="center"/>
    </xf>
    <xf numFmtId="0" fontId="13" fillId="0" borderId="50" xfId="12" applyFont="1" applyFill="1" applyBorder="1" applyAlignment="1">
      <alignment horizontal="center" vertical="center"/>
    </xf>
    <xf numFmtId="0" fontId="18" fillId="0" borderId="83" xfId="12" applyFont="1" applyBorder="1"/>
    <xf numFmtId="10" fontId="0" fillId="0" borderId="41" xfId="13" applyNumberFormat="1" applyFont="1" applyBorder="1" applyAlignment="1">
      <alignment horizontal="center" vertical="center"/>
    </xf>
    <xf numFmtId="10" fontId="0" fillId="0" borderId="33" xfId="13" applyNumberFormat="1" applyFont="1" applyFill="1" applyBorder="1" applyAlignment="1" applyProtection="1">
      <alignment horizontal="center" vertical="center"/>
    </xf>
    <xf numFmtId="10" fontId="0" fillId="0" borderId="50" xfId="13" applyNumberFormat="1" applyFont="1" applyBorder="1" applyAlignment="1">
      <alignment horizontal="center" vertical="center"/>
    </xf>
    <xf numFmtId="10" fontId="0" fillId="0" borderId="32" xfId="13" applyNumberFormat="1" applyFont="1" applyBorder="1" applyAlignment="1">
      <alignment horizontal="center" vertical="center"/>
    </xf>
    <xf numFmtId="10" fontId="0" fillId="0" borderId="83" xfId="13" applyNumberFormat="1" applyFont="1" applyBorder="1" applyAlignment="1">
      <alignment horizontal="center" vertical="center"/>
    </xf>
    <xf numFmtId="10" fontId="0" fillId="0" borderId="84" xfId="13" applyNumberFormat="1" applyFont="1" applyBorder="1" applyAlignment="1">
      <alignment horizontal="center" vertical="center"/>
    </xf>
    <xf numFmtId="10" fontId="0" fillId="9" borderId="32" xfId="13" applyNumberFormat="1" applyFont="1" applyFill="1" applyBorder="1" applyAlignment="1">
      <alignment vertical="center"/>
    </xf>
    <xf numFmtId="10" fontId="0" fillId="0" borderId="32" xfId="13" applyNumberFormat="1" applyFont="1" applyBorder="1" applyAlignment="1">
      <alignment vertical="center"/>
    </xf>
    <xf numFmtId="10" fontId="0" fillId="0" borderId="81" xfId="13" applyNumberFormat="1" applyFont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31" xfId="0" applyFont="1" applyBorder="1" applyAlignment="1">
      <alignment horizontal="center" vertical="center"/>
    </xf>
    <xf numFmtId="0" fontId="2" fillId="0" borderId="31" xfId="4" applyFont="1" applyBorder="1"/>
    <xf numFmtId="0" fontId="5" fillId="3" borderId="46" xfId="14" applyFont="1" applyFill="1" applyBorder="1" applyAlignment="1">
      <alignment horizontal="center" vertical="center" wrapText="1"/>
    </xf>
    <xf numFmtId="171" fontId="6" fillId="0" borderId="85" xfId="5" applyNumberFormat="1" applyFont="1" applyFill="1" applyBorder="1" applyAlignment="1">
      <alignment horizontal="center" vertical="center" wrapText="1"/>
    </xf>
    <xf numFmtId="0" fontId="5" fillId="3" borderId="44" xfId="14" applyFont="1" applyFill="1" applyBorder="1" applyAlignment="1">
      <alignment horizontal="center" vertical="center" wrapText="1"/>
    </xf>
    <xf numFmtId="0" fontId="7" fillId="0" borderId="86" xfId="0" applyFont="1" applyBorder="1" applyAlignment="1">
      <alignment horizontal="center" vertical="center"/>
    </xf>
    <xf numFmtId="166" fontId="8" fillId="0" borderId="43" xfId="4" applyNumberFormat="1" applyFont="1" applyFill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166" fontId="8" fillId="0" borderId="88" xfId="10" applyNumberFormat="1" applyFont="1" applyFill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166" fontId="8" fillId="0" borderId="90" xfId="10" applyNumberFormat="1" applyFont="1" applyFill="1" applyBorder="1" applyAlignment="1">
      <alignment horizontal="center" vertical="center"/>
    </xf>
    <xf numFmtId="0" fontId="7" fillId="5" borderId="40" xfId="0" applyFont="1" applyFill="1" applyBorder="1" applyAlignment="1">
      <alignment horizontal="center" vertical="center"/>
    </xf>
    <xf numFmtId="166" fontId="8" fillId="5" borderId="41" xfId="10" applyNumberFormat="1" applyFont="1" applyFill="1" applyBorder="1" applyAlignment="1">
      <alignment horizontal="center" vertical="center"/>
    </xf>
    <xf numFmtId="0" fontId="7" fillId="5" borderId="68" xfId="0" applyFont="1" applyFill="1" applyBorder="1" applyAlignment="1">
      <alignment horizontal="center" vertical="center"/>
    </xf>
    <xf numFmtId="0" fontId="7" fillId="5" borderId="91" xfId="0" applyFont="1" applyFill="1" applyBorder="1" applyAlignment="1">
      <alignment horizontal="center" vertical="center"/>
    </xf>
    <xf numFmtId="0" fontId="9" fillId="2" borderId="91" xfId="14" applyFont="1" applyFill="1" applyBorder="1" applyAlignment="1">
      <alignment horizontal="center" vertical="center" wrapText="1"/>
    </xf>
    <xf numFmtId="166" fontId="8" fillId="5" borderId="50" xfId="10" applyNumberFormat="1" applyFont="1" applyFill="1" applyBorder="1" applyAlignment="1">
      <alignment horizontal="center" vertical="center"/>
    </xf>
    <xf numFmtId="0" fontId="23" fillId="11" borderId="9" xfId="14" applyFont="1" applyFill="1" applyBorder="1" applyAlignment="1">
      <alignment horizontal="center" vertical="center" wrapText="1"/>
    </xf>
    <xf numFmtId="0" fontId="23" fillId="11" borderId="9" xfId="14" applyFont="1" applyFill="1" applyBorder="1" applyAlignment="1">
      <alignment horizontal="left" vertical="center" wrapText="1"/>
    </xf>
    <xf numFmtId="173" fontId="23" fillId="11" borderId="9" xfId="3" applyNumberFormat="1" applyFont="1" applyFill="1" applyBorder="1" applyAlignment="1">
      <alignment horizontal="center" vertical="center" wrapText="1"/>
    </xf>
    <xf numFmtId="0" fontId="24" fillId="3" borderId="9" xfId="14" applyFont="1" applyFill="1" applyBorder="1" applyAlignment="1">
      <alignment horizontal="center" vertical="center" wrapText="1"/>
    </xf>
    <xf numFmtId="0" fontId="24" fillId="3" borderId="9" xfId="14" applyFont="1" applyFill="1" applyBorder="1" applyAlignment="1">
      <alignment horizontal="left" vertical="center" wrapText="1"/>
    </xf>
    <xf numFmtId="173" fontId="24" fillId="3" borderId="9" xfId="3" applyNumberFormat="1" applyFont="1" applyFill="1" applyBorder="1" applyAlignment="1">
      <alignment horizontal="center" vertical="center" wrapText="1"/>
    </xf>
    <xf numFmtId="2" fontId="24" fillId="3" borderId="9" xfId="3" applyNumberFormat="1" applyFont="1" applyFill="1" applyBorder="1" applyAlignment="1">
      <alignment horizontal="center" vertical="center" wrapText="1"/>
    </xf>
    <xf numFmtId="4" fontId="25" fillId="0" borderId="9" xfId="4" applyNumberFormat="1" applyFont="1" applyFill="1" applyBorder="1" applyAlignment="1">
      <alignment horizontal="right" vertical="center"/>
    </xf>
    <xf numFmtId="4" fontId="25" fillId="0" borderId="9" xfId="4" applyNumberFormat="1" applyFont="1" applyBorder="1" applyAlignment="1">
      <alignment horizontal="right" vertical="center"/>
    </xf>
    <xf numFmtId="4" fontId="25" fillId="9" borderId="9" xfId="4" applyNumberFormat="1" applyFont="1" applyFill="1" applyBorder="1" applyAlignment="1">
      <alignment horizontal="right" vertical="center"/>
    </xf>
    <xf numFmtId="4" fontId="26" fillId="12" borderId="9" xfId="4" applyNumberFormat="1" applyFont="1" applyFill="1" applyBorder="1" applyAlignment="1">
      <alignment horizontal="right" vertical="center"/>
    </xf>
    <xf numFmtId="0" fontId="24" fillId="13" borderId="9" xfId="14" applyFont="1" applyFill="1" applyBorder="1" applyAlignment="1">
      <alignment horizontal="center" vertical="center" wrapText="1"/>
    </xf>
    <xf numFmtId="4" fontId="24" fillId="3" borderId="9" xfId="14" applyNumberFormat="1" applyFont="1" applyFill="1" applyBorder="1" applyAlignment="1">
      <alignment horizontal="center" vertical="center" wrapText="1"/>
    </xf>
    <xf numFmtId="2" fontId="24" fillId="9" borderId="9" xfId="3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0" fontId="0" fillId="0" borderId="38" xfId="0" applyBorder="1" applyAlignment="1">
      <alignment horizontal="center"/>
    </xf>
    <xf numFmtId="0" fontId="0" fillId="0" borderId="51" xfId="0" applyBorder="1"/>
    <xf numFmtId="0" fontId="0" fillId="0" borderId="38" xfId="0" applyBorder="1"/>
    <xf numFmtId="164" fontId="24" fillId="3" borderId="9" xfId="14" applyNumberFormat="1" applyFont="1" applyFill="1" applyBorder="1" applyAlignment="1">
      <alignment horizontal="center" vertical="center" wrapText="1"/>
    </xf>
    <xf numFmtId="0" fontId="0" fillId="5" borderId="92" xfId="0" applyFill="1" applyBorder="1"/>
    <xf numFmtId="0" fontId="0" fillId="5" borderId="93" xfId="0" applyFill="1" applyBorder="1"/>
    <xf numFmtId="0" fontId="0" fillId="0" borderId="94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4" xfId="0" applyBorder="1"/>
    <xf numFmtId="17" fontId="0" fillId="0" borderId="14" xfId="0" applyNumberFormat="1" applyFill="1" applyBorder="1" applyAlignment="1">
      <alignment horizontal="center"/>
    </xf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3" fontId="0" fillId="0" borderId="9" xfId="0" applyNumberFormat="1" applyBorder="1"/>
    <xf numFmtId="17" fontId="29" fillId="4" borderId="9" xfId="0" applyNumberFormat="1" applyFont="1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0" borderId="95" xfId="0" applyBorder="1"/>
    <xf numFmtId="0" fontId="13" fillId="0" borderId="0" xfId="6" applyFont="1" applyFill="1" applyBorder="1"/>
    <xf numFmtId="0" fontId="13" fillId="5" borderId="97" xfId="6" applyFont="1" applyFill="1" applyBorder="1" applyAlignment="1">
      <alignment horizontal="center" vertical="center" wrapText="1"/>
    </xf>
    <xf numFmtId="0" fontId="13" fillId="5" borderId="99" xfId="6" applyFont="1" applyFill="1" applyBorder="1" applyAlignment="1">
      <alignment horizontal="center" vertical="center" wrapText="1"/>
    </xf>
    <xf numFmtId="17" fontId="14" fillId="5" borderId="100" xfId="6" applyNumberFormat="1" applyFont="1" applyFill="1" applyBorder="1" applyAlignment="1">
      <alignment horizontal="center" vertical="center" wrapText="1"/>
    </xf>
    <xf numFmtId="0" fontId="16" fillId="5" borderId="35" xfId="6" applyFont="1" applyFill="1" applyBorder="1" applyAlignment="1">
      <alignment horizontal="center" vertical="center" wrapText="1"/>
    </xf>
    <xf numFmtId="0" fontId="29" fillId="5" borderId="48" xfId="0" applyFont="1" applyFill="1" applyBorder="1" applyAlignment="1">
      <alignment horizontal="center" vertical="center" wrapText="1"/>
    </xf>
    <xf numFmtId="0" fontId="29" fillId="5" borderId="62" xfId="0" applyFont="1" applyFill="1" applyBorder="1" applyAlignment="1">
      <alignment horizontal="center" vertical="center" wrapText="1"/>
    </xf>
    <xf numFmtId="0" fontId="29" fillId="5" borderId="101" xfId="0" applyFont="1" applyFill="1" applyBorder="1" applyAlignment="1">
      <alignment horizontal="center" vertical="center" wrapText="1"/>
    </xf>
    <xf numFmtId="0" fontId="13" fillId="5" borderId="102" xfId="6" applyFont="1" applyFill="1" applyBorder="1" applyAlignment="1">
      <alignment horizontal="center" vertical="center" wrapText="1"/>
    </xf>
    <xf numFmtId="172" fontId="30" fillId="0" borderId="103" xfId="6" applyNumberFormat="1" applyFont="1" applyBorder="1" applyAlignment="1">
      <alignment horizontal="center" vertical="center" wrapText="1"/>
    </xf>
    <xf numFmtId="0" fontId="31" fillId="0" borderId="9" xfId="6" applyFont="1" applyFill="1" applyBorder="1" applyAlignment="1">
      <alignment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3" fillId="0" borderId="9" xfId="6" applyFont="1" applyFill="1" applyBorder="1" applyAlignment="1">
      <alignment horizontal="center" vertical="center" wrapText="1"/>
    </xf>
    <xf numFmtId="174" fontId="34" fillId="4" borderId="14" xfId="0" applyNumberFormat="1" applyFont="1" applyFill="1" applyBorder="1" applyAlignment="1">
      <alignment horizontal="center" vertical="center"/>
    </xf>
    <xf numFmtId="172" fontId="30" fillId="0" borderId="104" xfId="6" applyNumberFormat="1" applyFont="1" applyBorder="1" applyAlignment="1">
      <alignment horizontal="center" vertical="center" wrapText="1"/>
    </xf>
    <xf numFmtId="174" fontId="34" fillId="4" borderId="9" xfId="0" applyNumberFormat="1" applyFont="1" applyFill="1" applyBorder="1" applyAlignment="1">
      <alignment horizontal="center" vertical="center"/>
    </xf>
    <xf numFmtId="0" fontId="0" fillId="5" borderId="93" xfId="0" applyFill="1" applyBorder="1" applyAlignment="1">
      <alignment horizontal="center"/>
    </xf>
    <xf numFmtId="0" fontId="0" fillId="5" borderId="0" xfId="0" applyFill="1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9" fontId="0" fillId="4" borderId="9" xfId="2" applyFont="1" applyFill="1" applyBorder="1" applyAlignment="1">
      <alignment horizontal="center"/>
    </xf>
    <xf numFmtId="10" fontId="0" fillId="4" borderId="9" xfId="2" applyNumberFormat="1" applyFont="1" applyFill="1" applyBorder="1" applyAlignment="1">
      <alignment horizontal="center"/>
    </xf>
    <xf numFmtId="171" fontId="35" fillId="0" borderId="9" xfId="10" applyNumberFormat="1" applyFont="1" applyBorder="1" applyAlignment="1" applyProtection="1">
      <protection locked="0"/>
    </xf>
    <xf numFmtId="173" fontId="29" fillId="0" borderId="41" xfId="0" applyNumberFormat="1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13" fillId="5" borderId="30" xfId="6" applyFont="1" applyFill="1" applyBorder="1" applyAlignment="1">
      <alignment horizontal="center" vertical="center" wrapText="1"/>
    </xf>
    <xf numFmtId="0" fontId="36" fillId="5" borderId="99" xfId="0" applyFont="1" applyFill="1" applyBorder="1" applyAlignment="1">
      <alignment horizontal="center" vertical="center" wrapText="1"/>
    </xf>
    <xf numFmtId="0" fontId="36" fillId="5" borderId="66" xfId="0" applyFont="1" applyFill="1" applyBorder="1" applyAlignment="1">
      <alignment horizontal="center" vertical="center" wrapText="1"/>
    </xf>
    <xf numFmtId="1" fontId="13" fillId="5" borderId="68" xfId="6" applyNumberFormat="1" applyFont="1" applyFill="1" applyBorder="1" applyAlignment="1">
      <alignment horizontal="center" vertical="center" wrapText="1"/>
    </xf>
    <xf numFmtId="1" fontId="13" fillId="5" borderId="102" xfId="6" applyNumberFormat="1" applyFont="1" applyFill="1" applyBorder="1" applyAlignment="1">
      <alignment horizontal="center" vertical="center" wrapText="1"/>
    </xf>
    <xf numFmtId="0" fontId="29" fillId="5" borderId="91" xfId="0" applyFont="1" applyFill="1" applyBorder="1" applyAlignment="1">
      <alignment horizontal="center" vertical="center" wrapText="1"/>
    </xf>
    <xf numFmtId="4" fontId="30" fillId="0" borderId="14" xfId="6" applyNumberFormat="1" applyFont="1" applyBorder="1" applyAlignment="1">
      <alignment horizontal="center" vertical="center"/>
    </xf>
    <xf numFmtId="2" fontId="30" fillId="0" borderId="105" xfId="0" applyNumberFormat="1" applyFont="1" applyBorder="1" applyAlignment="1">
      <alignment horizontal="center" vertical="center"/>
    </xf>
    <xf numFmtId="4" fontId="30" fillId="15" borderId="14" xfId="6" applyNumberFormat="1" applyFont="1" applyFill="1" applyBorder="1" applyAlignment="1">
      <alignment horizontal="center" vertical="center"/>
    </xf>
    <xf numFmtId="0" fontId="33" fillId="4" borderId="14" xfId="0" applyFont="1" applyFill="1" applyBorder="1" applyAlignment="1">
      <alignment horizontal="center" vertical="center"/>
    </xf>
    <xf numFmtId="2" fontId="30" fillId="0" borderId="14" xfId="0" applyNumberFormat="1" applyFont="1" applyBorder="1" applyAlignment="1">
      <alignment horizontal="center" vertical="center"/>
    </xf>
    <xf numFmtId="4" fontId="30" fillId="0" borderId="9" xfId="6" applyNumberFormat="1" applyFont="1" applyBorder="1" applyAlignment="1">
      <alignment horizontal="center" vertical="center"/>
    </xf>
    <xf numFmtId="2" fontId="30" fillId="0" borderId="9" xfId="0" applyNumberFormat="1" applyFont="1" applyBorder="1" applyAlignment="1">
      <alignment horizontal="center" vertical="center"/>
    </xf>
    <xf numFmtId="4" fontId="30" fillId="15" borderId="9" xfId="6" applyNumberFormat="1" applyFont="1" applyFill="1" applyBorder="1" applyAlignment="1">
      <alignment horizontal="center" vertical="center"/>
    </xf>
    <xf numFmtId="0" fontId="0" fillId="5" borderId="106" xfId="0" applyFill="1" applyBorder="1"/>
    <xf numFmtId="0" fontId="0" fillId="5" borderId="107" xfId="0" applyFill="1" applyBorder="1"/>
    <xf numFmtId="0" fontId="28" fillId="5" borderId="52" xfId="0" applyFont="1" applyFill="1" applyBorder="1" applyAlignment="1">
      <alignment vertical="center"/>
    </xf>
    <xf numFmtId="0" fontId="28" fillId="5" borderId="108" xfId="0" applyFont="1" applyFill="1" applyBorder="1" applyAlignment="1">
      <alignment vertical="center"/>
    </xf>
    <xf numFmtId="0" fontId="0" fillId="0" borderId="107" xfId="0" applyBorder="1"/>
    <xf numFmtId="0" fontId="36" fillId="5" borderId="70" xfId="0" applyFont="1" applyFill="1" applyBorder="1" applyAlignment="1">
      <alignment horizontal="center" vertical="center" wrapText="1"/>
    </xf>
    <xf numFmtId="0" fontId="36" fillId="5" borderId="109" xfId="0" applyFont="1" applyFill="1" applyBorder="1" applyAlignment="1">
      <alignment horizontal="center" vertical="center" wrapText="1"/>
    </xf>
    <xf numFmtId="1" fontId="13" fillId="5" borderId="110" xfId="6" applyNumberFormat="1" applyFont="1" applyFill="1" applyBorder="1" applyAlignment="1">
      <alignment horizontal="center" vertical="center" wrapText="1"/>
    </xf>
    <xf numFmtId="2" fontId="30" fillId="15" borderId="14" xfId="0" applyNumberFormat="1" applyFont="1" applyFill="1" applyBorder="1" applyAlignment="1">
      <alignment horizontal="center" vertical="center"/>
    </xf>
    <xf numFmtId="2" fontId="30" fillId="4" borderId="14" xfId="0" applyNumberFormat="1" applyFont="1" applyFill="1" applyBorder="1" applyAlignment="1">
      <alignment horizontal="center" vertical="center"/>
    </xf>
    <xf numFmtId="167" fontId="30" fillId="0" borderId="14" xfId="0" applyNumberFormat="1" applyFont="1" applyBorder="1" applyAlignment="1">
      <alignment horizontal="center" vertical="center"/>
    </xf>
    <xf numFmtId="40" fontId="30" fillId="0" borderId="14" xfId="0" applyNumberFormat="1" applyFont="1" applyBorder="1" applyAlignment="1">
      <alignment horizontal="center" vertical="center"/>
    </xf>
    <xf numFmtId="40" fontId="30" fillId="0" borderId="111" xfId="0" applyNumberFormat="1" applyFont="1" applyBorder="1" applyAlignment="1">
      <alignment horizontal="center" vertical="center"/>
    </xf>
    <xf numFmtId="2" fontId="30" fillId="15" borderId="9" xfId="0" applyNumberFormat="1" applyFont="1" applyFill="1" applyBorder="1" applyAlignment="1">
      <alignment horizontal="center" vertical="center"/>
    </xf>
    <xf numFmtId="167" fontId="30" fillId="0" borderId="9" xfId="0" applyNumberFormat="1" applyFont="1" applyBorder="1" applyAlignment="1">
      <alignment horizontal="center" vertical="center"/>
    </xf>
    <xf numFmtId="40" fontId="30" fillId="0" borderId="9" xfId="0" applyNumberFormat="1" applyFont="1" applyBorder="1" applyAlignment="1">
      <alignment horizontal="center" vertical="center"/>
    </xf>
    <xf numFmtId="40" fontId="30" fillId="0" borderId="11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0" fillId="0" borderId="0" xfId="4"/>
    <xf numFmtId="0" fontId="0" fillId="0" borderId="31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60" fillId="0" borderId="0" xfId="4" applyBorder="1" applyAlignment="1">
      <alignment vertical="center"/>
    </xf>
    <xf numFmtId="0" fontId="60" fillId="0" borderId="0" xfId="4" applyBorder="1"/>
    <xf numFmtId="0" fontId="2" fillId="0" borderId="31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31" xfId="4" applyFont="1" applyBorder="1" applyAlignment="1">
      <alignment vertical="top"/>
    </xf>
    <xf numFmtId="0" fontId="2" fillId="0" borderId="0" xfId="4" applyFont="1" applyBorder="1" applyAlignment="1">
      <alignment wrapText="1"/>
    </xf>
    <xf numFmtId="0" fontId="38" fillId="0" borderId="31" xfId="4" applyFont="1" applyBorder="1" applyAlignment="1">
      <alignment horizontal="center" vertical="center"/>
    </xf>
    <xf numFmtId="0" fontId="38" fillId="0" borderId="0" xfId="4" applyFont="1" applyBorder="1" applyAlignment="1">
      <alignment horizontal="center" vertical="center"/>
    </xf>
    <xf numFmtId="0" fontId="39" fillId="0" borderId="31" xfId="4" applyFont="1" applyBorder="1" applyAlignment="1">
      <alignment vertical="center"/>
    </xf>
    <xf numFmtId="0" fontId="39" fillId="0" borderId="0" xfId="4" applyFont="1" applyBorder="1" applyAlignment="1">
      <alignment vertical="center"/>
    </xf>
    <xf numFmtId="0" fontId="40" fillId="0" borderId="0" xfId="4" applyFont="1" applyBorder="1" applyAlignment="1">
      <alignment vertical="center"/>
    </xf>
    <xf numFmtId="0" fontId="41" fillId="0" borderId="0" xfId="4" applyFont="1" applyBorder="1" applyAlignment="1">
      <alignment vertical="center"/>
    </xf>
    <xf numFmtId="0" fontId="39" fillId="0" borderId="31" xfId="4" applyFont="1" applyBorder="1"/>
    <xf numFmtId="0" fontId="39" fillId="0" borderId="0" xfId="4" applyFont="1" applyBorder="1"/>
    <xf numFmtId="2" fontId="40" fillId="9" borderId="0" xfId="4" applyNumberFormat="1" applyFont="1" applyFill="1" applyBorder="1"/>
    <xf numFmtId="2" fontId="39" fillId="9" borderId="0" xfId="4" applyNumberFormat="1" applyFont="1" applyFill="1" applyBorder="1"/>
    <xf numFmtId="2" fontId="40" fillId="0" borderId="113" xfId="4" applyNumberFormat="1" applyFont="1" applyBorder="1" applyAlignment="1">
      <alignment horizontal="center" vertical="center"/>
    </xf>
    <xf numFmtId="0" fontId="60" fillId="0" borderId="31" xfId="4" applyBorder="1"/>
    <xf numFmtId="2" fontId="39" fillId="0" borderId="0" xfId="4" applyNumberFormat="1" applyFont="1" applyBorder="1"/>
    <xf numFmtId="0" fontId="40" fillId="0" borderId="0" xfId="4" applyFont="1" applyBorder="1"/>
    <xf numFmtId="0" fontId="0" fillId="0" borderId="80" xfId="4" applyFont="1" applyBorder="1"/>
    <xf numFmtId="0" fontId="60" fillId="0" borderId="52" xfId="4" applyBorder="1"/>
    <xf numFmtId="0" fontId="0" fillId="0" borderId="52" xfId="4" applyFont="1" applyBorder="1"/>
    <xf numFmtId="0" fontId="60" fillId="0" borderId="32" xfId="4" applyBorder="1"/>
    <xf numFmtId="4" fontId="2" fillId="0" borderId="32" xfId="4" applyNumberFormat="1" applyFont="1" applyBorder="1"/>
    <xf numFmtId="0" fontId="60" fillId="0" borderId="81" xfId="4" applyBorder="1"/>
    <xf numFmtId="49" fontId="42" fillId="0" borderId="28" xfId="0" applyNumberFormat="1" applyFont="1" applyBorder="1" applyAlignment="1">
      <alignment vertical="top" wrapText="1"/>
    </xf>
    <xf numFmtId="49" fontId="42" fillId="0" borderId="31" xfId="0" applyNumberFormat="1" applyFont="1" applyBorder="1" applyAlignment="1">
      <alignment vertical="top" wrapText="1"/>
    </xf>
    <xf numFmtId="49" fontId="42" fillId="0" borderId="1" xfId="0" applyNumberFormat="1" applyFont="1" applyBorder="1" applyAlignment="1">
      <alignment vertical="top" wrapText="1"/>
    </xf>
    <xf numFmtId="0" fontId="0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9" xfId="4" applyFont="1" applyBorder="1" applyAlignment="1">
      <alignment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 wrapText="1"/>
    </xf>
    <xf numFmtId="169" fontId="0" fillId="9" borderId="9" xfId="1" applyFont="1" applyFill="1" applyBorder="1" applyAlignment="1">
      <alignment horizontal="right" vertical="center" wrapText="1"/>
    </xf>
    <xf numFmtId="4" fontId="0" fillId="9" borderId="9" xfId="4" applyNumberFormat="1" applyFont="1" applyFill="1" applyBorder="1" applyAlignment="1">
      <alignment horizontal="right" vertical="center"/>
    </xf>
    <xf numFmtId="0" fontId="0" fillId="0" borderId="0" xfId="4" applyFont="1"/>
    <xf numFmtId="0" fontId="0" fillId="16" borderId="0" xfId="4" applyFont="1" applyFill="1"/>
    <xf numFmtId="169" fontId="0" fillId="9" borderId="13" xfId="1" applyFont="1" applyFill="1" applyBorder="1" applyAlignment="1">
      <alignment horizontal="right" vertical="center" wrapText="1"/>
    </xf>
    <xf numFmtId="169" fontId="0" fillId="0" borderId="9" xfId="1" applyFont="1" applyFill="1" applyBorder="1" applyAlignment="1">
      <alignment horizontal="right" vertical="center" wrapText="1"/>
    </xf>
    <xf numFmtId="4" fontId="0" fillId="0" borderId="9" xfId="4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9" xfId="0" applyFont="1" applyBorder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175" fontId="0" fillId="0" borderId="0" xfId="0" applyNumberFormat="1" applyAlignment="1">
      <alignment vertical="center"/>
    </xf>
    <xf numFmtId="49" fontId="42" fillId="0" borderId="4" xfId="0" applyNumberFormat="1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9" fontId="16" fillId="9" borderId="9" xfId="1" applyFont="1" applyFill="1" applyBorder="1" applyAlignment="1">
      <alignment horizontal="center"/>
    </xf>
    <xf numFmtId="43" fontId="16" fillId="0" borderId="9" xfId="1" applyNumberFormat="1" applyFont="1" applyBorder="1" applyAlignment="1">
      <alignment horizontal="center" vertical="center"/>
    </xf>
    <xf numFmtId="43" fontId="0" fillId="0" borderId="0" xfId="0" applyNumberFormat="1"/>
    <xf numFmtId="0" fontId="1" fillId="0" borderId="9" xfId="0" applyFont="1" applyBorder="1" applyAlignment="1">
      <alignment horizontal="left" vertical="center"/>
    </xf>
    <xf numFmtId="169" fontId="0" fillId="0" borderId="9" xfId="1" applyFont="1" applyBorder="1" applyAlignment="1">
      <alignment horizontal="center"/>
    </xf>
    <xf numFmtId="10" fontId="1" fillId="5" borderId="9" xfId="2" applyNumberFormat="1" applyFont="1" applyFill="1" applyBorder="1" applyAlignment="1">
      <alignment horizontal="center"/>
    </xf>
    <xf numFmtId="43" fontId="16" fillId="0" borderId="41" xfId="1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69" fontId="0" fillId="9" borderId="13" xfId="1" applyFont="1" applyFill="1" applyBorder="1" applyAlignment="1"/>
    <xf numFmtId="49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left" vertical="center"/>
    </xf>
    <xf numFmtId="43" fontId="1" fillId="0" borderId="9" xfId="0" applyNumberFormat="1" applyFont="1" applyBorder="1" applyAlignment="1">
      <alignment horizontal="center"/>
    </xf>
    <xf numFmtId="43" fontId="1" fillId="0" borderId="9" xfId="0" applyNumberFormat="1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/>
    <xf numFmtId="10" fontId="0" fillId="0" borderId="0" xfId="0" applyNumberFormat="1"/>
    <xf numFmtId="43" fontId="16" fillId="0" borderId="9" xfId="0" applyNumberFormat="1" applyFont="1" applyBorder="1" applyAlignment="1">
      <alignment horizontal="center"/>
    </xf>
    <xf numFmtId="169" fontId="0" fillId="9" borderId="26" xfId="1" applyFont="1" applyFill="1" applyBorder="1" applyAlignment="1"/>
    <xf numFmtId="0" fontId="0" fillId="0" borderId="26" xfId="0" applyBorder="1"/>
    <xf numFmtId="169" fontId="0" fillId="9" borderId="9" xfId="1" applyFont="1" applyFill="1" applyBorder="1" applyAlignment="1">
      <alignment horizontal="center"/>
    </xf>
    <xf numFmtId="10" fontId="1" fillId="5" borderId="41" xfId="2" applyNumberFormat="1" applyFont="1" applyFill="1" applyBorder="1" applyAlignment="1">
      <alignment horizontal="center"/>
    </xf>
    <xf numFmtId="0" fontId="0" fillId="8" borderId="0" xfId="4" applyFont="1" applyFill="1"/>
    <xf numFmtId="4" fontId="0" fillId="0" borderId="0" xfId="4" applyNumberFormat="1" applyFont="1"/>
    <xf numFmtId="49" fontId="4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0" fontId="2" fillId="0" borderId="0" xfId="0" applyNumberFormat="1" applyFont="1" applyBorder="1" applyAlignment="1">
      <alignment horizontal="left" wrapText="1"/>
    </xf>
    <xf numFmtId="0" fontId="1" fillId="0" borderId="0" xfId="4" applyNumberFormat="1" applyFont="1" applyBorder="1" applyAlignment="1">
      <alignment horizontal="justify" vertical="center" wrapText="1"/>
    </xf>
    <xf numFmtId="0" fontId="2" fillId="18" borderId="33" xfId="4" applyFont="1" applyFill="1" applyBorder="1" applyAlignment="1">
      <alignment horizontal="center" vertical="center" wrapText="1"/>
    </xf>
    <xf numFmtId="0" fontId="2" fillId="18" borderId="25" xfId="4" applyFont="1" applyFill="1" applyBorder="1" applyAlignment="1">
      <alignment horizontal="center" vertical="center" wrapText="1"/>
    </xf>
    <xf numFmtId="0" fontId="2" fillId="18" borderId="25" xfId="4" applyFont="1" applyFill="1" applyBorder="1" applyAlignment="1">
      <alignment vertical="center" wrapText="1"/>
    </xf>
    <xf numFmtId="0" fontId="2" fillId="18" borderId="9" xfId="4" applyFont="1" applyFill="1" applyBorder="1" applyAlignment="1">
      <alignment horizontal="center" vertical="center" wrapText="1"/>
    </xf>
    <xf numFmtId="4" fontId="2" fillId="18" borderId="9" xfId="4" applyNumberFormat="1" applyFont="1" applyFill="1" applyBorder="1" applyAlignment="1">
      <alignment horizontal="center" vertical="center" wrapText="1"/>
    </xf>
    <xf numFmtId="0" fontId="2" fillId="8" borderId="33" xfId="4" applyFont="1" applyFill="1" applyBorder="1" applyAlignment="1">
      <alignment horizontal="center" vertical="center"/>
    </xf>
    <xf numFmtId="0" fontId="2" fillId="8" borderId="26" xfId="4" applyFont="1" applyFill="1" applyBorder="1" applyAlignment="1">
      <alignment vertical="center"/>
    </xf>
    <xf numFmtId="0" fontId="2" fillId="8" borderId="25" xfId="4" applyFont="1" applyFill="1" applyBorder="1" applyAlignment="1">
      <alignment vertical="center"/>
    </xf>
    <xf numFmtId="0" fontId="0" fillId="0" borderId="33" xfId="4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0" fontId="49" fillId="9" borderId="9" xfId="4" applyFont="1" applyFill="1" applyBorder="1" applyAlignment="1">
      <alignment horizontal="center" vertical="center"/>
    </xf>
    <xf numFmtId="10" fontId="0" fillId="9" borderId="9" xfId="1" applyNumberFormat="1" applyFont="1" applyFill="1" applyBorder="1" applyAlignment="1">
      <alignment horizontal="center" vertical="center"/>
    </xf>
    <xf numFmtId="169" fontId="0" fillId="9" borderId="9" xfId="1" applyFont="1" applyFill="1" applyBorder="1" applyAlignment="1">
      <alignment horizontal="center" vertical="center"/>
    </xf>
    <xf numFmtId="0" fontId="2" fillId="8" borderId="27" xfId="4" applyFont="1" applyFill="1" applyBorder="1" applyAlignment="1">
      <alignment horizontal="center" vertical="center"/>
    </xf>
    <xf numFmtId="0" fontId="0" fillId="0" borderId="9" xfId="4" applyFont="1" applyBorder="1" applyAlignment="1">
      <alignment horizontal="left" vertical="center"/>
    </xf>
    <xf numFmtId="0" fontId="50" fillId="9" borderId="31" xfId="4" applyFont="1" applyFill="1" applyBorder="1" applyAlignment="1">
      <alignment horizontal="center" vertical="center"/>
    </xf>
    <xf numFmtId="0" fontId="50" fillId="9" borderId="0" xfId="4" applyFont="1" applyFill="1" applyBorder="1" applyAlignment="1">
      <alignment horizontal="center" vertical="center"/>
    </xf>
    <xf numFmtId="0" fontId="50" fillId="9" borderId="2" xfId="4" applyFont="1" applyFill="1" applyBorder="1" applyAlignment="1">
      <alignment horizontal="center" vertical="center"/>
    </xf>
    <xf numFmtId="10" fontId="52" fillId="0" borderId="9" xfId="2" applyNumberFormat="1" applyFont="1" applyBorder="1" applyAlignment="1">
      <alignment horizontal="center" vertical="center"/>
    </xf>
    <xf numFmtId="10" fontId="0" fillId="0" borderId="0" xfId="4" applyNumberFormat="1" applyFont="1"/>
    <xf numFmtId="10" fontId="0" fillId="8" borderId="0" xfId="4" applyNumberFormat="1" applyFont="1" applyFill="1"/>
    <xf numFmtId="4" fontId="2" fillId="18" borderId="41" xfId="4" applyNumberFormat="1" applyFont="1" applyFill="1" applyBorder="1" applyAlignment="1">
      <alignment horizontal="center" vertical="center" wrapText="1"/>
    </xf>
    <xf numFmtId="4" fontId="53" fillId="5" borderId="41" xfId="4" applyNumberFormat="1" applyFont="1" applyFill="1" applyBorder="1" applyAlignment="1">
      <alignment horizontal="right" vertical="center"/>
    </xf>
    <xf numFmtId="0" fontId="2" fillId="16" borderId="33" xfId="4" applyFont="1" applyFill="1" applyBorder="1" applyAlignment="1">
      <alignment horizontal="center" vertical="center"/>
    </xf>
    <xf numFmtId="0" fontId="2" fillId="16" borderId="25" xfId="4" applyFont="1" applyFill="1" applyBorder="1" applyAlignment="1">
      <alignment vertical="center"/>
    </xf>
    <xf numFmtId="0" fontId="2" fillId="16" borderId="26" xfId="4" applyFont="1" applyFill="1" applyBorder="1" applyAlignment="1">
      <alignment vertical="center"/>
    </xf>
    <xf numFmtId="0" fontId="2" fillId="16" borderId="27" xfId="4" applyFont="1" applyFill="1" applyBorder="1" applyAlignment="1">
      <alignment vertical="center"/>
    </xf>
    <xf numFmtId="4" fontId="0" fillId="0" borderId="0" xfId="4" applyNumberFormat="1" applyFont="1" applyAlignment="1">
      <alignment horizontal="right"/>
    </xf>
    <xf numFmtId="49" fontId="42" fillId="0" borderId="0" xfId="0" applyNumberFormat="1" applyFont="1" applyBorder="1" applyAlignment="1">
      <alignment horizontal="left" vertical="top" wrapText="1"/>
    </xf>
    <xf numFmtId="0" fontId="0" fillId="0" borderId="14" xfId="4" applyFont="1" applyFill="1" applyBorder="1" applyAlignment="1">
      <alignment horizontal="center" vertical="center"/>
    </xf>
    <xf numFmtId="169" fontId="0" fillId="9" borderId="14" xfId="1" applyFont="1" applyFill="1" applyBorder="1" applyAlignment="1">
      <alignment horizontal="center" vertical="center"/>
    </xf>
    <xf numFmtId="4" fontId="0" fillId="9" borderId="14" xfId="4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wrapText="1"/>
    </xf>
    <xf numFmtId="0" fontId="0" fillId="8" borderId="0" xfId="4" applyFont="1" applyFill="1" applyBorder="1" applyAlignment="1">
      <alignment horizontal="center" vertical="center"/>
    </xf>
    <xf numFmtId="4" fontId="0" fillId="0" borderId="41" xfId="4" applyNumberFormat="1" applyFont="1" applyBorder="1" applyAlignment="1">
      <alignment horizontal="right" vertical="center"/>
    </xf>
    <xf numFmtId="4" fontId="53" fillId="5" borderId="74" xfId="4" applyNumberFormat="1" applyFont="1" applyFill="1" applyBorder="1" applyAlignment="1">
      <alignment horizontal="right" vertical="center"/>
    </xf>
    <xf numFmtId="4" fontId="0" fillId="0" borderId="76" xfId="4" applyNumberFormat="1" applyFont="1" applyBorder="1" applyAlignment="1">
      <alignment horizontal="right" vertical="center"/>
    </xf>
    <xf numFmtId="4" fontId="53" fillId="20" borderId="74" xfId="4" applyNumberFormat="1" applyFont="1" applyFill="1" applyBorder="1" applyAlignment="1">
      <alignment horizontal="right" vertical="center"/>
    </xf>
    <xf numFmtId="4" fontId="53" fillId="20" borderId="41" xfId="4" applyNumberFormat="1" applyFont="1" applyFill="1" applyBorder="1" applyAlignment="1">
      <alignment horizontal="right" vertical="center"/>
    </xf>
    <xf numFmtId="0" fontId="50" fillId="9" borderId="36" xfId="4" applyFont="1" applyFill="1" applyBorder="1" applyAlignment="1">
      <alignment horizontal="center" vertical="center"/>
    </xf>
    <xf numFmtId="4" fontId="45" fillId="19" borderId="50" xfId="4" applyNumberFormat="1" applyFont="1" applyFill="1" applyBorder="1" applyAlignment="1">
      <alignment horizontal="right" vertical="center"/>
    </xf>
    <xf numFmtId="170" fontId="6" fillId="9" borderId="16" xfId="5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0" fontId="61" fillId="10" borderId="41" xfId="13" applyNumberFormat="1" applyFont="1" applyFill="1" applyBorder="1" applyAlignment="1" applyProtection="1">
      <alignment horizontal="center" vertical="center"/>
      <protection locked="0"/>
    </xf>
    <xf numFmtId="0" fontId="60" fillId="0" borderId="1" xfId="8" applyBorder="1"/>
    <xf numFmtId="0" fontId="60" fillId="0" borderId="2" xfId="8" applyBorder="1" applyAlignment="1">
      <alignment horizontal="center"/>
    </xf>
    <xf numFmtId="0" fontId="60" fillId="0" borderId="2" xfId="8" applyBorder="1"/>
    <xf numFmtId="0" fontId="60" fillId="0" borderId="3" xfId="8" applyBorder="1"/>
    <xf numFmtId="49" fontId="13" fillId="0" borderId="1" xfId="17" applyNumberFormat="1" applyFont="1" applyBorder="1" applyAlignment="1">
      <alignment horizontal="left"/>
    </xf>
    <xf numFmtId="49" fontId="13" fillId="0" borderId="4" xfId="17" applyNumberFormat="1" applyFont="1" applyBorder="1" applyAlignment="1">
      <alignment horizontal="left"/>
    </xf>
    <xf numFmtId="0" fontId="0" fillId="0" borderId="5" xfId="0" applyFont="1" applyBorder="1"/>
    <xf numFmtId="0" fontId="0" fillId="0" borderId="4" xfId="0" applyFont="1" applyBorder="1" applyAlignment="1">
      <alignment horizontal="center"/>
    </xf>
    <xf numFmtId="0" fontId="2" fillId="21" borderId="4" xfId="0" applyFont="1" applyFill="1" applyBorder="1" applyAlignment="1">
      <alignment horizontal="center" vertical="center"/>
    </xf>
    <xf numFmtId="0" fontId="2" fillId="21" borderId="0" xfId="0" applyFont="1" applyFill="1" applyAlignment="1">
      <alignment horizontal="center" vertical="center"/>
    </xf>
    <xf numFmtId="0" fontId="2" fillId="21" borderId="0" xfId="0" applyFont="1" applyFill="1" applyAlignment="1">
      <alignment horizontal="center" vertical="center" wrapText="1"/>
    </xf>
    <xf numFmtId="0" fontId="2" fillId="21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10" fontId="2" fillId="0" borderId="0" xfId="0" applyNumberFormat="1" applyFont="1"/>
    <xf numFmtId="10" fontId="2" fillId="0" borderId="5" xfId="0" applyNumberFormat="1" applyFont="1" applyBorder="1"/>
    <xf numFmtId="0" fontId="0" fillId="0" borderId="4" xfId="0" applyFont="1" applyBorder="1" applyAlignment="1">
      <alignment horizontal="left"/>
    </xf>
    <xf numFmtId="10" fontId="0" fillId="0" borderId="0" xfId="0" applyNumberFormat="1" applyFont="1"/>
    <xf numFmtId="10" fontId="0" fillId="0" borderId="5" xfId="0" applyNumberFormat="1" applyFont="1" applyBorder="1"/>
    <xf numFmtId="49" fontId="0" fillId="0" borderId="4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left"/>
    </xf>
    <xf numFmtId="4" fontId="0" fillId="0" borderId="0" xfId="0" applyNumberFormat="1" applyFont="1"/>
    <xf numFmtId="4" fontId="0" fillId="0" borderId="5" xfId="0" applyNumberFormat="1" applyFont="1" applyBorder="1"/>
    <xf numFmtId="0" fontId="0" fillId="21" borderId="4" xfId="0" applyFont="1" applyFill="1" applyBorder="1" applyAlignment="1">
      <alignment horizontal="center"/>
    </xf>
    <xf numFmtId="0" fontId="2" fillId="21" borderId="0" xfId="0" applyFont="1" applyFill="1" applyAlignment="1">
      <alignment horizontal="center"/>
    </xf>
    <xf numFmtId="4" fontId="0" fillId="21" borderId="0" xfId="0" applyNumberFormat="1" applyFont="1" applyFill="1"/>
    <xf numFmtId="10" fontId="2" fillId="21" borderId="5" xfId="15" applyNumberFormat="1" applyFont="1" applyFill="1" applyBorder="1"/>
    <xf numFmtId="9" fontId="0" fillId="0" borderId="5" xfId="15" applyFont="1" applyBorder="1"/>
    <xf numFmtId="10" fontId="0" fillId="0" borderId="5" xfId="15" applyNumberFormat="1" applyFont="1" applyBorder="1"/>
    <xf numFmtId="0" fontId="60" fillId="0" borderId="51" xfId="8" applyBorder="1"/>
    <xf numFmtId="0" fontId="60" fillId="0" borderId="38" xfId="8" applyBorder="1" applyAlignment="1">
      <alignment horizontal="center"/>
    </xf>
    <xf numFmtId="0" fontId="60" fillId="0" borderId="38" xfId="8" applyBorder="1"/>
    <xf numFmtId="0" fontId="60" fillId="0" borderId="114" xfId="8" applyBorder="1"/>
    <xf numFmtId="0" fontId="2" fillId="0" borderId="0" xfId="0" applyFont="1" applyBorder="1" applyAlignment="1">
      <alignment horizontal="center" wrapText="1"/>
    </xf>
    <xf numFmtId="49" fontId="48" fillId="0" borderId="0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45" fillId="0" borderId="25" xfId="4" applyFont="1" applyBorder="1" applyAlignment="1">
      <alignment horizontal="center" vertical="center"/>
    </xf>
    <xf numFmtId="0" fontId="45" fillId="0" borderId="26" xfId="4" applyFont="1" applyBorder="1" applyAlignment="1">
      <alignment horizontal="center" vertical="center"/>
    </xf>
    <xf numFmtId="0" fontId="45" fillId="0" borderId="27" xfId="4" applyFont="1" applyBorder="1" applyAlignment="1">
      <alignment horizontal="center" vertical="center"/>
    </xf>
    <xf numFmtId="0" fontId="0" fillId="8" borderId="9" xfId="4" applyFont="1" applyFill="1" applyBorder="1" applyAlignment="1">
      <alignment horizontal="center" vertical="center"/>
    </xf>
    <xf numFmtId="0" fontId="0" fillId="8" borderId="41" xfId="4" applyFont="1" applyFill="1" applyBorder="1" applyAlignment="1">
      <alignment horizontal="center" vertical="center"/>
    </xf>
    <xf numFmtId="0" fontId="0" fillId="0" borderId="33" xfId="4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4" fontId="3" fillId="0" borderId="13" xfId="4" applyNumberFormat="1" applyFont="1" applyFill="1" applyBorder="1" applyAlignment="1">
      <alignment horizontal="center" vertical="center"/>
    </xf>
    <xf numFmtId="0" fontId="0" fillId="16" borderId="9" xfId="4" applyFont="1" applyFill="1" applyBorder="1" applyAlignment="1">
      <alignment horizontal="center" vertical="center"/>
    </xf>
    <xf numFmtId="4" fontId="3" fillId="0" borderId="9" xfId="4" applyNumberFormat="1" applyFont="1" applyFill="1" applyBorder="1" applyAlignment="1">
      <alignment horizontal="center" vertical="center"/>
    </xf>
    <xf numFmtId="0" fontId="0" fillId="0" borderId="80" xfId="4" applyFont="1" applyBorder="1" applyAlignment="1">
      <alignment horizontal="center" vertical="center"/>
    </xf>
    <xf numFmtId="0" fontId="0" fillId="0" borderId="52" xfId="4" applyFont="1" applyBorder="1" applyAlignment="1">
      <alignment horizontal="center" vertical="center"/>
    </xf>
    <xf numFmtId="0" fontId="0" fillId="0" borderId="73" xfId="4" applyFont="1" applyBorder="1" applyAlignment="1">
      <alignment horizontal="center" vertical="center"/>
    </xf>
    <xf numFmtId="4" fontId="1" fillId="0" borderId="49" xfId="4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 wrapText="1"/>
    </xf>
    <xf numFmtId="0" fontId="0" fillId="0" borderId="40" xfId="4" applyFont="1" applyBorder="1" applyAlignment="1">
      <alignment horizontal="center" vertical="center"/>
    </xf>
    <xf numFmtId="0" fontId="0" fillId="0" borderId="26" xfId="4" applyFont="1" applyBorder="1" applyAlignment="1">
      <alignment horizontal="center" vertical="center"/>
    </xf>
    <xf numFmtId="0" fontId="50" fillId="8" borderId="9" xfId="4" applyFont="1" applyFill="1" applyBorder="1" applyAlignment="1">
      <alignment horizontal="center" vertical="center"/>
    </xf>
    <xf numFmtId="0" fontId="50" fillId="0" borderId="35" xfId="4" applyFont="1" applyBorder="1" applyAlignment="1">
      <alignment horizontal="center" vertical="center"/>
    </xf>
    <xf numFmtId="0" fontId="50" fillId="0" borderId="2" xfId="4" applyFont="1" applyBorder="1" applyAlignment="1">
      <alignment horizontal="center" vertical="center"/>
    </xf>
    <xf numFmtId="0" fontId="50" fillId="0" borderId="3" xfId="4" applyFont="1" applyBorder="1" applyAlignment="1">
      <alignment horizontal="center" vertical="center"/>
    </xf>
    <xf numFmtId="43" fontId="1" fillId="0" borderId="13" xfId="0" applyNumberFormat="1" applyFont="1" applyBorder="1" applyAlignment="1">
      <alignment horizontal="center"/>
    </xf>
    <xf numFmtId="43" fontId="1" fillId="0" borderId="16" xfId="0" applyNumberFormat="1" applyFont="1" applyBorder="1" applyAlignment="1">
      <alignment horizontal="center"/>
    </xf>
    <xf numFmtId="43" fontId="1" fillId="0" borderId="14" xfId="0" applyNumberFormat="1" applyFont="1" applyBorder="1" applyAlignment="1">
      <alignment horizontal="center"/>
    </xf>
    <xf numFmtId="0" fontId="1" fillId="17" borderId="9" xfId="0" applyFont="1" applyFill="1" applyBorder="1" applyAlignment="1">
      <alignment horizontal="center" vertical="center"/>
    </xf>
    <xf numFmtId="49" fontId="44" fillId="0" borderId="0" xfId="0" applyNumberFormat="1" applyFont="1" applyBorder="1" applyAlignment="1">
      <alignment horizontal="left" vertical="top" wrapText="1"/>
    </xf>
    <xf numFmtId="49" fontId="44" fillId="0" borderId="0" xfId="0" applyNumberFormat="1" applyFont="1" applyBorder="1" applyAlignment="1">
      <alignment horizontal="center" vertical="top" wrapText="1"/>
    </xf>
    <xf numFmtId="0" fontId="2" fillId="0" borderId="4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center" vertical="top" wrapText="1"/>
    </xf>
    <xf numFmtId="0" fontId="14" fillId="17" borderId="4" xfId="0" applyFont="1" applyFill="1" applyBorder="1" applyAlignment="1">
      <alignment horizontal="center" vertical="center"/>
    </xf>
    <xf numFmtId="0" fontId="14" fillId="17" borderId="0" xfId="0" applyFont="1" applyFill="1" applyBorder="1" applyAlignment="1">
      <alignment horizontal="center" vertical="center"/>
    </xf>
    <xf numFmtId="49" fontId="43" fillId="0" borderId="29" xfId="0" applyNumberFormat="1" applyFont="1" applyBorder="1" applyAlignment="1">
      <alignment horizontal="center" vertical="top" wrapText="1"/>
    </xf>
    <xf numFmtId="49" fontId="43" fillId="0" borderId="30" xfId="0" applyNumberFormat="1" applyFont="1" applyBorder="1" applyAlignment="1">
      <alignment horizontal="center" vertical="top" wrapText="1"/>
    </xf>
    <xf numFmtId="49" fontId="43" fillId="0" borderId="0" xfId="0" applyNumberFormat="1" applyFont="1" applyBorder="1" applyAlignment="1">
      <alignment horizontal="center" vertical="top" wrapText="1"/>
    </xf>
    <xf numFmtId="49" fontId="43" fillId="0" borderId="32" xfId="0" applyNumberFormat="1" applyFont="1" applyBorder="1" applyAlignment="1">
      <alignment horizontal="center" vertical="top" wrapText="1"/>
    </xf>
    <xf numFmtId="0" fontId="46" fillId="10" borderId="105" xfId="4" applyFont="1" applyFill="1" applyBorder="1" applyAlignment="1">
      <alignment horizontal="center" vertical="center"/>
    </xf>
    <xf numFmtId="0" fontId="0" fillId="0" borderId="9" xfId="4" applyFont="1" applyFill="1" applyBorder="1" applyAlignment="1">
      <alignment horizontal="center" vertical="center"/>
    </xf>
    <xf numFmtId="0" fontId="2" fillId="0" borderId="105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7" fillId="10" borderId="9" xfId="4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4" fontId="1" fillId="0" borderId="53" xfId="4" applyNumberFormat="1" applyFont="1" applyBorder="1" applyAlignment="1">
      <alignment horizontal="center" vertical="center"/>
    </xf>
    <xf numFmtId="4" fontId="1" fillId="0" borderId="55" xfId="4" applyNumberFormat="1" applyFont="1" applyBorder="1" applyAlignment="1">
      <alignment horizontal="center" vertical="center"/>
    </xf>
    <xf numFmtId="0" fontId="37" fillId="0" borderId="31" xfId="4" applyFont="1" applyBorder="1" applyAlignment="1">
      <alignment horizontal="center" vertical="center" wrapText="1"/>
    </xf>
    <xf numFmtId="0" fontId="37" fillId="0" borderId="0" xfId="4" applyFont="1" applyBorder="1" applyAlignment="1">
      <alignment horizontal="center" vertical="center" wrapText="1"/>
    </xf>
    <xf numFmtId="0" fontId="37" fillId="0" borderId="32" xfId="4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wrapText="1"/>
    </xf>
    <xf numFmtId="0" fontId="27" fillId="14" borderId="94" xfId="0" applyFont="1" applyFill="1" applyBorder="1" applyAlignment="1">
      <alignment horizontal="left" vertical="center"/>
    </xf>
    <xf numFmtId="0" fontId="27" fillId="14" borderId="0" xfId="0" applyFont="1" applyFill="1" applyBorder="1" applyAlignment="1">
      <alignment horizontal="left" vertical="center"/>
    </xf>
    <xf numFmtId="0" fontId="27" fillId="14" borderId="107" xfId="0" applyFont="1" applyFill="1" applyBorder="1" applyAlignment="1">
      <alignment horizontal="left" vertical="center"/>
    </xf>
    <xf numFmtId="0" fontId="28" fillId="5" borderId="95" xfId="0" applyFont="1" applyFill="1" applyBorder="1" applyAlignment="1">
      <alignment horizontal="center" vertical="center"/>
    </xf>
    <xf numFmtId="0" fontId="28" fillId="5" borderId="52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5" xfId="0" applyBorder="1" applyAlignment="1">
      <alignment horizontal="center"/>
    </xf>
    <xf numFmtId="0" fontId="1" fillId="5" borderId="69" xfId="6" applyFont="1" applyFill="1" applyBorder="1" applyAlignment="1">
      <alignment horizontal="center" vertical="center" wrapText="1"/>
    </xf>
    <xf numFmtId="0" fontId="1" fillId="5" borderId="70" xfId="6" applyFont="1" applyFill="1" applyBorder="1" applyAlignment="1">
      <alignment horizontal="center" vertical="center" wrapText="1"/>
    </xf>
    <xf numFmtId="0" fontId="1" fillId="5" borderId="66" xfId="6" applyFont="1" applyFill="1" applyBorder="1" applyAlignment="1">
      <alignment horizontal="center" vertical="center" wrapText="1"/>
    </xf>
    <xf numFmtId="0" fontId="13" fillId="5" borderId="69" xfId="6" applyFont="1" applyFill="1" applyBorder="1" applyAlignment="1">
      <alignment horizontal="center" vertical="center" wrapText="1"/>
    </xf>
    <xf numFmtId="0" fontId="13" fillId="5" borderId="66" xfId="6" applyFont="1" applyFill="1" applyBorder="1" applyAlignment="1">
      <alignment horizontal="center" vertical="center" wrapText="1"/>
    </xf>
    <xf numFmtId="0" fontId="36" fillId="5" borderId="69" xfId="0" applyFont="1" applyFill="1" applyBorder="1" applyAlignment="1">
      <alignment horizontal="center" vertical="center" wrapText="1"/>
    </xf>
    <xf numFmtId="0" fontId="36" fillId="5" borderId="66" xfId="0" applyFont="1" applyFill="1" applyBorder="1" applyAlignment="1">
      <alignment horizontal="center" vertical="center" wrapText="1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5" fillId="0" borderId="25" xfId="4" applyFont="1" applyBorder="1" applyAlignment="1">
      <alignment horizontal="right" vertical="center"/>
    </xf>
    <xf numFmtId="0" fontId="25" fillId="0" borderId="26" xfId="4" applyFont="1" applyBorder="1" applyAlignment="1">
      <alignment horizontal="right" vertical="center"/>
    </xf>
    <xf numFmtId="0" fontId="25" fillId="0" borderId="27" xfId="4" applyFont="1" applyBorder="1" applyAlignment="1">
      <alignment horizontal="right" vertical="center"/>
    </xf>
    <xf numFmtId="10" fontId="25" fillId="0" borderId="25" xfId="4" applyNumberFormat="1" applyFont="1" applyBorder="1" applyAlignment="1">
      <alignment horizontal="right" vertical="center"/>
    </xf>
    <xf numFmtId="0" fontId="0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8" fillId="0" borderId="18" xfId="4" applyFont="1" applyBorder="1" applyAlignment="1">
      <alignment horizontal="right" vertical="center"/>
    </xf>
    <xf numFmtId="0" fontId="8" fillId="0" borderId="19" xfId="4" applyFont="1" applyBorder="1" applyAlignment="1">
      <alignment horizontal="right" vertical="center"/>
    </xf>
    <xf numFmtId="0" fontId="8" fillId="5" borderId="26" xfId="10" applyFont="1" applyFill="1" applyBorder="1" applyAlignment="1">
      <alignment horizontal="right" vertical="center"/>
    </xf>
    <xf numFmtId="0" fontId="8" fillId="5" borderId="27" xfId="10" applyFont="1" applyFill="1" applyBorder="1" applyAlignment="1">
      <alignment horizontal="right" vertical="center"/>
    </xf>
    <xf numFmtId="0" fontId="4" fillId="2" borderId="13" xfId="14" applyFont="1" applyFill="1" applyBorder="1" applyAlignment="1">
      <alignment horizontal="center" vertical="center" wrapText="1"/>
    </xf>
    <xf numFmtId="0" fontId="4" fillId="2" borderId="14" xfId="14" applyFont="1" applyFill="1" applyBorder="1" applyAlignment="1">
      <alignment horizontal="center" vertical="center" wrapText="1"/>
    </xf>
    <xf numFmtId="170" fontId="4" fillId="2" borderId="13" xfId="5" applyNumberFormat="1" applyFont="1" applyFill="1" applyBorder="1" applyAlignment="1">
      <alignment horizontal="center" vertical="center" wrapText="1"/>
    </xf>
    <xf numFmtId="170" fontId="4" fillId="2" borderId="14" xfId="5" applyNumberFormat="1" applyFont="1" applyFill="1" applyBorder="1" applyAlignment="1">
      <alignment horizontal="center" vertical="center" wrapText="1"/>
    </xf>
    <xf numFmtId="0" fontId="8" fillId="5" borderId="91" xfId="10" applyFont="1" applyFill="1" applyBorder="1" applyAlignment="1">
      <alignment horizontal="right" vertical="center"/>
    </xf>
    <xf numFmtId="0" fontId="8" fillId="5" borderId="63" xfId="10" applyFont="1" applyFill="1" applyBorder="1" applyAlignment="1">
      <alignment horizontal="right" vertical="center"/>
    </xf>
    <xf numFmtId="0" fontId="4" fillId="2" borderId="71" xfId="14" applyFont="1" applyFill="1" applyBorder="1" applyAlignment="1">
      <alignment horizontal="center" vertical="center" wrapText="1"/>
    </xf>
    <xf numFmtId="0" fontId="4" fillId="2" borderId="75" xfId="14" applyFont="1" applyFill="1" applyBorder="1" applyAlignment="1">
      <alignment horizontal="center" vertical="center" wrapText="1"/>
    </xf>
    <xf numFmtId="0" fontId="4" fillId="2" borderId="13" xfId="14" quotePrefix="1" applyFont="1" applyFill="1" applyBorder="1" applyAlignment="1">
      <alignment horizontal="justify" vertical="center" wrapText="1"/>
    </xf>
    <xf numFmtId="0" fontId="4" fillId="2" borderId="14" xfId="14" applyFont="1" applyFill="1" applyBorder="1" applyAlignment="1">
      <alignment horizontal="justify" vertical="center" wrapText="1"/>
    </xf>
    <xf numFmtId="0" fontId="4" fillId="2" borderId="13" xfId="14" applyFont="1" applyFill="1" applyBorder="1" applyAlignment="1">
      <alignment horizontal="justify" vertical="center" wrapText="1"/>
    </xf>
    <xf numFmtId="170" fontId="4" fillId="2" borderId="74" xfId="5" applyNumberFormat="1" applyFont="1" applyFill="1" applyBorder="1" applyAlignment="1">
      <alignment horizontal="center" vertical="center" wrapText="1"/>
    </xf>
    <xf numFmtId="170" fontId="4" fillId="2" borderId="76" xfId="5" applyNumberFormat="1" applyFont="1" applyFill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6" fillId="0" borderId="52" xfId="0" applyFont="1" applyBorder="1" applyAlignment="1">
      <alignment horizontal="left" vertical="center" wrapText="1"/>
    </xf>
    <xf numFmtId="0" fontId="16" fillId="0" borderId="81" xfId="0" applyFont="1" applyBorder="1" applyAlignment="1">
      <alignment horizontal="left" vertical="center" wrapText="1"/>
    </xf>
    <xf numFmtId="49" fontId="3" fillId="8" borderId="53" xfId="12" applyNumberFormat="1" applyFont="1" applyFill="1" applyBorder="1" applyAlignment="1">
      <alignment horizontal="center" vertical="center"/>
    </xf>
    <xf numFmtId="49" fontId="3" fillId="8" borderId="54" xfId="12" applyNumberFormat="1" applyFont="1" applyFill="1" applyBorder="1" applyAlignment="1">
      <alignment horizontal="center" vertical="center"/>
    </xf>
    <xf numFmtId="49" fontId="3" fillId="8" borderId="55" xfId="1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62" fillId="8" borderId="53" xfId="12" applyNumberFormat="1" applyFont="1" applyFill="1" applyBorder="1" applyAlignment="1">
      <alignment horizontal="center" vertical="center"/>
    </xf>
    <xf numFmtId="0" fontId="13" fillId="9" borderId="62" xfId="12" applyFont="1" applyFill="1" applyBorder="1" applyAlignment="1">
      <alignment horizontal="center" vertical="center"/>
    </xf>
    <xf numFmtId="0" fontId="13" fillId="9" borderId="63" xfId="12" applyFont="1" applyFill="1" applyBorder="1" applyAlignment="1">
      <alignment horizontal="center" vertical="center"/>
    </xf>
    <xf numFmtId="0" fontId="0" fillId="0" borderId="53" xfId="12" applyFont="1" applyBorder="1" applyAlignment="1">
      <alignment vertical="center"/>
    </xf>
    <xf numFmtId="0" fontId="0" fillId="0" borderId="54" xfId="12" applyFont="1" applyBorder="1" applyAlignment="1">
      <alignment vertical="center"/>
    </xf>
    <xf numFmtId="0" fontId="2" fillId="0" borderId="65" xfId="12" applyFont="1" applyFill="1" applyBorder="1" applyAlignment="1">
      <alignment horizontal="justify" vertical="center" wrapText="1"/>
    </xf>
    <xf numFmtId="0" fontId="2" fillId="0" borderId="66" xfId="12" applyFont="1" applyFill="1" applyBorder="1" applyAlignment="1">
      <alignment horizontal="justify" vertical="center" wrapText="1"/>
    </xf>
    <xf numFmtId="0" fontId="18" fillId="0" borderId="65" xfId="12" applyFont="1" applyBorder="1" applyAlignment="1">
      <alignment horizontal="center"/>
    </xf>
    <xf numFmtId="0" fontId="18" fillId="0" borderId="67" xfId="12" applyFont="1" applyBorder="1" applyAlignment="1">
      <alignment horizontal="center"/>
    </xf>
    <xf numFmtId="10" fontId="0" fillId="0" borderId="25" xfId="13" applyNumberFormat="1" applyFont="1" applyBorder="1" applyAlignment="1">
      <alignment horizontal="center" vertical="center"/>
    </xf>
    <xf numFmtId="10" fontId="0" fillId="0" borderId="27" xfId="13" applyNumberFormat="1" applyFont="1" applyBorder="1" applyAlignment="1">
      <alignment horizontal="center" vertical="center"/>
    </xf>
    <xf numFmtId="0" fontId="2" fillId="0" borderId="68" xfId="12" applyFont="1" applyFill="1" applyBorder="1" applyAlignment="1">
      <alignment horizontal="right" vertical="center"/>
    </xf>
    <xf numFmtId="0" fontId="2" fillId="0" borderId="63" xfId="12" applyFont="1" applyFill="1" applyBorder="1" applyAlignment="1">
      <alignment horizontal="right" vertical="center"/>
    </xf>
    <xf numFmtId="10" fontId="0" fillId="0" borderId="62" xfId="13" applyNumberFormat="1" applyFont="1" applyBorder="1" applyAlignment="1">
      <alignment horizontal="center" vertical="center"/>
    </xf>
    <xf numFmtId="10" fontId="0" fillId="0" borderId="63" xfId="13" applyNumberFormat="1" applyFont="1" applyBorder="1" applyAlignment="1">
      <alignment horizontal="center" vertical="center"/>
    </xf>
    <xf numFmtId="0" fontId="0" fillId="0" borderId="53" xfId="12" applyFont="1" applyBorder="1" applyAlignment="1">
      <alignment horizontal="center" vertical="center"/>
    </xf>
    <xf numFmtId="0" fontId="0" fillId="0" borderId="54" xfId="12" applyFont="1" applyBorder="1" applyAlignment="1">
      <alignment horizontal="center" vertical="center"/>
    </xf>
    <xf numFmtId="10" fontId="0" fillId="0" borderId="65" xfId="13" applyNumberFormat="1" applyFont="1" applyBorder="1" applyAlignment="1">
      <alignment horizontal="center" vertical="center"/>
    </xf>
    <xf numFmtId="10" fontId="0" fillId="0" borderId="67" xfId="13" applyNumberFormat="1" applyFont="1" applyBorder="1" applyAlignment="1">
      <alignment horizontal="center" vertical="center"/>
    </xf>
    <xf numFmtId="49" fontId="13" fillId="8" borderId="69" xfId="12" applyNumberFormat="1" applyFont="1" applyFill="1" applyBorder="1" applyAlignment="1">
      <alignment horizontal="center" vertical="center" wrapText="1"/>
    </xf>
    <xf numFmtId="49" fontId="13" fillId="8" borderId="70" xfId="12" applyNumberFormat="1" applyFont="1" applyFill="1" applyBorder="1" applyAlignment="1">
      <alignment horizontal="center" vertical="center" wrapText="1"/>
    </xf>
    <xf numFmtId="49" fontId="13" fillId="8" borderId="66" xfId="12" applyNumberFormat="1" applyFont="1" applyFill="1" applyBorder="1" applyAlignment="1">
      <alignment horizontal="center" vertical="center" wrapText="1"/>
    </xf>
    <xf numFmtId="10" fontId="0" fillId="0" borderId="78" xfId="13" applyNumberFormat="1" applyFont="1" applyBorder="1" applyAlignment="1">
      <alignment horizontal="center" vertical="center"/>
    </xf>
    <xf numFmtId="10" fontId="0" fillId="0" borderId="79" xfId="13" applyNumberFormat="1" applyFont="1" applyBorder="1" applyAlignment="1">
      <alignment horizontal="center" vertical="center"/>
    </xf>
    <xf numFmtId="10" fontId="22" fillId="8" borderId="13" xfId="12" applyNumberFormat="1" applyFont="1" applyFill="1" applyBorder="1" applyAlignment="1">
      <alignment horizontal="center" vertical="center"/>
    </xf>
    <xf numFmtId="10" fontId="22" fillId="8" borderId="60" xfId="12" applyNumberFormat="1" applyFont="1" applyFill="1" applyBorder="1" applyAlignment="1">
      <alignment horizontal="center" vertical="center"/>
    </xf>
    <xf numFmtId="10" fontId="19" fillId="0" borderId="71" xfId="13" applyNumberFormat="1" applyFont="1" applyBorder="1" applyAlignment="1">
      <alignment horizontal="center" vertical="center" wrapText="1"/>
    </xf>
    <xf numFmtId="10" fontId="19" fillId="0" borderId="59" xfId="13" applyNumberFormat="1" applyFont="1" applyBorder="1" applyAlignment="1">
      <alignment horizontal="center" vertical="center" wrapText="1"/>
    </xf>
    <xf numFmtId="0" fontId="20" fillId="0" borderId="74" xfId="12" applyFont="1" applyBorder="1" applyAlignment="1">
      <alignment horizontal="center" vertical="center" wrapText="1"/>
    </xf>
    <xf numFmtId="0" fontId="20" fillId="0" borderId="61" xfId="12" applyFont="1" applyBorder="1" applyAlignment="1">
      <alignment horizontal="center" vertical="center" wrapText="1"/>
    </xf>
    <xf numFmtId="49" fontId="13" fillId="8" borderId="28" xfId="12" applyNumberFormat="1" applyFont="1" applyFill="1" applyBorder="1" applyAlignment="1">
      <alignment horizontal="center" vertical="center" wrapText="1"/>
    </xf>
    <xf numFmtId="49" fontId="13" fillId="8" borderId="29" xfId="12" applyNumberFormat="1" applyFont="1" applyFill="1" applyBorder="1" applyAlignment="1">
      <alignment horizontal="center" vertical="center" wrapText="1"/>
    </xf>
    <xf numFmtId="49" fontId="13" fillId="8" borderId="30" xfId="12" applyNumberFormat="1" applyFont="1" applyFill="1" applyBorder="1" applyAlignment="1">
      <alignment horizontal="center" vertical="center" wrapText="1"/>
    </xf>
    <xf numFmtId="49" fontId="13" fillId="8" borderId="37" xfId="12" applyNumberFormat="1" applyFont="1" applyFill="1" applyBorder="1" applyAlignment="1">
      <alignment horizontal="center" vertical="center" wrapText="1"/>
    </xf>
    <xf numFmtId="49" fontId="13" fillId="8" borderId="38" xfId="12" applyNumberFormat="1" applyFont="1" applyFill="1" applyBorder="1" applyAlignment="1">
      <alignment horizontal="center" vertical="center" wrapText="1"/>
    </xf>
    <xf numFmtId="49" fontId="13" fillId="8" borderId="39" xfId="12" applyNumberFormat="1" applyFont="1" applyFill="1" applyBorder="1" applyAlignment="1">
      <alignment horizontal="center" vertical="center" wrapText="1"/>
    </xf>
    <xf numFmtId="0" fontId="20" fillId="0" borderId="1" xfId="12" applyFont="1" applyBorder="1" applyAlignment="1">
      <alignment horizontal="center" vertical="center" wrapText="1"/>
    </xf>
    <xf numFmtId="0" fontId="20" fillId="0" borderId="3" xfId="12" applyFont="1" applyBorder="1" applyAlignment="1">
      <alignment horizontal="center" vertical="center" wrapText="1"/>
    </xf>
    <xf numFmtId="0" fontId="20" fillId="0" borderId="72" xfId="12" applyFont="1" applyBorder="1" applyAlignment="1">
      <alignment horizontal="center" vertical="center" wrapText="1"/>
    </xf>
    <xf numFmtId="0" fontId="20" fillId="0" borderId="73" xfId="12" applyFont="1" applyBorder="1" applyAlignment="1">
      <alignment horizontal="center" vertical="center" wrapText="1"/>
    </xf>
    <xf numFmtId="0" fontId="2" fillId="0" borderId="28" xfId="12" applyFont="1" applyFill="1" applyBorder="1" applyAlignment="1">
      <alignment horizontal="center" vertical="center"/>
    </xf>
    <xf numFmtId="0" fontId="2" fillId="0" borderId="29" xfId="12" applyFont="1" applyFill="1" applyBorder="1" applyAlignment="1">
      <alignment horizontal="center" vertical="center"/>
    </xf>
    <xf numFmtId="0" fontId="2" fillId="0" borderId="30" xfId="12" applyFont="1" applyFill="1" applyBorder="1" applyAlignment="1">
      <alignment horizontal="center" vertical="center"/>
    </xf>
    <xf numFmtId="0" fontId="2" fillId="0" borderId="80" xfId="12" applyFont="1" applyFill="1" applyBorder="1" applyAlignment="1">
      <alignment horizontal="center" vertical="center"/>
    </xf>
    <xf numFmtId="0" fontId="2" fillId="0" borderId="52" xfId="12" applyFont="1" applyFill="1" applyBorder="1" applyAlignment="1">
      <alignment horizontal="center" vertical="center"/>
    </xf>
    <xf numFmtId="0" fontId="2" fillId="0" borderId="81" xfId="12" applyFont="1" applyFill="1" applyBorder="1" applyAlignment="1">
      <alignment horizontal="center" vertical="center"/>
    </xf>
    <xf numFmtId="0" fontId="1" fillId="0" borderId="28" xfId="12" applyFont="1" applyBorder="1" applyAlignment="1">
      <alignment horizontal="center" vertical="center"/>
    </xf>
    <xf numFmtId="0" fontId="1" fillId="0" borderId="82" xfId="12" applyFont="1" applyBorder="1" applyAlignment="1">
      <alignment horizontal="center" vertical="center"/>
    </xf>
    <xf numFmtId="0" fontId="1" fillId="0" borderId="80" xfId="12" applyFont="1" applyBorder="1" applyAlignment="1">
      <alignment horizontal="center" vertical="center"/>
    </xf>
    <xf numFmtId="0" fontId="1" fillId="0" borderId="73" xfId="12" applyFont="1" applyBorder="1" applyAlignment="1">
      <alignment horizontal="center" vertical="center"/>
    </xf>
    <xf numFmtId="0" fontId="0" fillId="0" borderId="28" xfId="12" applyFont="1" applyFill="1" applyBorder="1" applyAlignment="1">
      <alignment horizontal="center" vertical="center"/>
    </xf>
    <xf numFmtId="0" fontId="0" fillId="0" borderId="29" xfId="12" applyFont="1" applyFill="1" applyBorder="1" applyAlignment="1">
      <alignment horizontal="center" vertical="center"/>
    </xf>
    <xf numFmtId="0" fontId="13" fillId="0" borderId="56" xfId="12" applyFont="1" applyFill="1" applyBorder="1" applyAlignment="1">
      <alignment horizontal="center" vertical="center"/>
    </xf>
    <xf numFmtId="0" fontId="13" fillId="0" borderId="59" xfId="12" applyFont="1" applyFill="1" applyBorder="1" applyAlignment="1">
      <alignment horizontal="center" vertical="center"/>
    </xf>
    <xf numFmtId="0" fontId="0" fillId="0" borderId="71" xfId="12" applyFont="1" applyBorder="1" applyAlignment="1">
      <alignment horizontal="center" vertical="center"/>
    </xf>
    <xf numFmtId="0" fontId="0" fillId="0" borderId="75" xfId="12" applyFont="1" applyBorder="1" applyAlignment="1">
      <alignment horizontal="center" vertical="center"/>
    </xf>
    <xf numFmtId="0" fontId="13" fillId="0" borderId="57" xfId="12" applyFont="1" applyFill="1" applyBorder="1" applyAlignment="1">
      <alignment horizontal="center" vertical="center"/>
    </xf>
    <xf numFmtId="0" fontId="13" fillId="0" borderId="60" xfId="12" applyFont="1" applyFill="1" applyBorder="1" applyAlignment="1">
      <alignment horizontal="center" vertical="center"/>
    </xf>
    <xf numFmtId="0" fontId="0" fillId="0" borderId="13" xfId="12" applyFont="1" applyFill="1" applyBorder="1" applyAlignment="1">
      <alignment horizontal="left" vertical="center"/>
    </xf>
    <xf numFmtId="0" fontId="0" fillId="0" borderId="14" xfId="12" applyFont="1" applyFill="1" applyBorder="1" applyAlignment="1">
      <alignment horizontal="left" vertical="center"/>
    </xf>
    <xf numFmtId="0" fontId="13" fillId="0" borderId="58" xfId="12" applyFont="1" applyFill="1" applyBorder="1" applyAlignment="1">
      <alignment horizontal="center" vertical="center"/>
    </xf>
    <xf numFmtId="0" fontId="13" fillId="0" borderId="61" xfId="12" applyFont="1" applyFill="1" applyBorder="1" applyAlignment="1">
      <alignment horizontal="center" vertical="center"/>
    </xf>
    <xf numFmtId="10" fontId="0" fillId="10" borderId="74" xfId="13" applyNumberFormat="1" applyFont="1" applyFill="1" applyBorder="1" applyAlignment="1" applyProtection="1">
      <alignment horizontal="center" vertical="center"/>
      <protection locked="0"/>
    </xf>
    <xf numFmtId="10" fontId="0" fillId="10" borderId="76" xfId="13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11" fillId="0" borderId="40" xfId="10" applyFont="1" applyFill="1" applyBorder="1" applyAlignment="1">
      <alignment horizontal="center"/>
    </xf>
    <xf numFmtId="0" fontId="11" fillId="0" borderId="26" xfId="10" applyFont="1" applyFill="1" applyBorder="1" applyAlignment="1">
      <alignment horizontal="center"/>
    </xf>
    <xf numFmtId="0" fontId="11" fillId="0" borderId="34" xfId="10" applyFont="1" applyFill="1" applyBorder="1" applyAlignment="1">
      <alignment horizontal="center"/>
    </xf>
    <xf numFmtId="0" fontId="12" fillId="0" borderId="48" xfId="10" applyFont="1" applyFill="1" applyBorder="1" applyAlignment="1">
      <alignment horizontal="center" vertical="center"/>
    </xf>
    <xf numFmtId="0" fontId="12" fillId="0" borderId="49" xfId="10" applyFont="1" applyFill="1" applyBorder="1" applyAlignment="1">
      <alignment horizontal="center" vertical="center"/>
    </xf>
    <xf numFmtId="0" fontId="12" fillId="0" borderId="40" xfId="10" applyFont="1" applyFill="1" applyBorder="1" applyAlignment="1">
      <alignment horizontal="center" vertical="center"/>
    </xf>
    <xf numFmtId="0" fontId="12" fillId="0" borderId="26" xfId="10" applyFont="1" applyFill="1" applyBorder="1" applyAlignment="1">
      <alignment horizontal="center" vertical="center"/>
    </xf>
    <xf numFmtId="0" fontId="12" fillId="0" borderId="34" xfId="10" applyFont="1" applyFill="1" applyBorder="1" applyAlignment="1">
      <alignment horizontal="center" vertical="center"/>
    </xf>
    <xf numFmtId="0" fontId="12" fillId="0" borderId="25" xfId="10" applyFont="1" applyFill="1" applyBorder="1" applyAlignment="1">
      <alignment horizontal="center" vertical="center"/>
    </xf>
    <xf numFmtId="0" fontId="12" fillId="0" borderId="27" xfId="10" applyFont="1" applyFill="1" applyBorder="1" applyAlignment="1">
      <alignment horizontal="center" vertical="center"/>
    </xf>
    <xf numFmtId="168" fontId="12" fillId="0" borderId="9" xfId="10" applyNumberFormat="1" applyFont="1" applyFill="1" applyBorder="1" applyAlignment="1">
      <alignment horizontal="center" vertical="center"/>
    </xf>
    <xf numFmtId="168" fontId="12" fillId="0" borderId="41" xfId="10" applyNumberFormat="1" applyFont="1" applyFill="1" applyBorder="1" applyAlignment="1">
      <alignment horizontal="center" vertical="center"/>
    </xf>
    <xf numFmtId="0" fontId="11" fillId="0" borderId="35" xfId="8" applyFont="1" applyFill="1" applyBorder="1" applyAlignment="1">
      <alignment horizontal="center" vertical="center" wrapText="1"/>
    </xf>
    <xf numFmtId="0" fontId="11" fillId="0" borderId="2" xfId="8" applyFont="1" applyFill="1" applyBorder="1" applyAlignment="1">
      <alignment horizontal="center" vertical="center" wrapText="1"/>
    </xf>
    <xf numFmtId="0" fontId="11" fillId="0" borderId="36" xfId="8" applyFont="1" applyFill="1" applyBorder="1" applyAlignment="1">
      <alignment horizontal="center" vertical="center" wrapText="1"/>
    </xf>
    <xf numFmtId="0" fontId="11" fillId="0" borderId="37" xfId="8" applyFont="1" applyFill="1" applyBorder="1" applyAlignment="1">
      <alignment horizontal="center" vertical="center" wrapText="1"/>
    </xf>
    <xf numFmtId="0" fontId="11" fillId="0" borderId="38" xfId="8" applyFont="1" applyFill="1" applyBorder="1" applyAlignment="1">
      <alignment horizontal="center" vertical="center" wrapText="1"/>
    </xf>
    <xf numFmtId="0" fontId="11" fillId="0" borderId="39" xfId="8" applyFont="1" applyFill="1" applyBorder="1" applyAlignment="1">
      <alignment horizontal="center" vertical="center" wrapText="1"/>
    </xf>
    <xf numFmtId="0" fontId="12" fillId="0" borderId="33" xfId="10" applyFont="1" applyFill="1" applyBorder="1" applyAlignment="1">
      <alignment horizontal="center" vertical="center"/>
    </xf>
    <xf numFmtId="0" fontId="12" fillId="0" borderId="9" xfId="1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</cellXfs>
  <cellStyles count="18">
    <cellStyle name="Moeda" xfId="3" builtinId="4"/>
    <cellStyle name="Moeda 2" xfId="5"/>
    <cellStyle name="Normal" xfId="0" builtinId="0"/>
    <cellStyle name="Normal 11" xfId="8"/>
    <cellStyle name="Normal 2" xfId="4"/>
    <cellStyle name="Normal 2 2" xfId="10"/>
    <cellStyle name="Normal 3" xfId="11"/>
    <cellStyle name="Normal 6" xfId="12"/>
    <cellStyle name="Normal_Baixio-Etapa1A-Complementar-Det" xfId="17"/>
    <cellStyle name="Normal_JANEIRO-2005" xfId="6"/>
    <cellStyle name="Normal_Pesquisa no referencial 10 de maio de 2013" xfId="14"/>
    <cellStyle name="Porcentagem" xfId="2" builtinId="5"/>
    <cellStyle name="Porcentagem 2" xfId="15"/>
    <cellStyle name="Separador de milhares 2" xfId="9"/>
    <cellStyle name="Separador de milhares 2 2" xfId="7"/>
    <cellStyle name="Vírgula" xfId="1" builtinId="3"/>
    <cellStyle name="Vírgula 2" xfId="16"/>
    <cellStyle name="Vírgula 6" xfId="13"/>
  </cellStyles>
  <dxfs count="1">
    <dxf>
      <font>
        <color auto="1"/>
      </font>
      <fill>
        <patternFill patternType="solid">
          <bgColor rgb="FF92D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29845</xdr:colOff>
      <xdr:row>0</xdr:row>
      <xdr:rowOff>193040</xdr:rowOff>
    </xdr:from>
    <xdr:to>
      <xdr:col>3</xdr:col>
      <xdr:colOff>237311</xdr:colOff>
      <xdr:row>2</xdr:row>
      <xdr:rowOff>66153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9845" y="193040"/>
          <a:ext cx="2388235" cy="33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0</xdr:row>
      <xdr:rowOff>109855</xdr:rowOff>
    </xdr:from>
    <xdr:to>
      <xdr:col>1</xdr:col>
      <xdr:colOff>1679875</xdr:colOff>
      <xdr:row>2</xdr:row>
      <xdr:rowOff>116146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2075" y="109855"/>
          <a:ext cx="2206625" cy="329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525" y="0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1029822</xdr:colOff>
      <xdr:row>1</xdr:row>
      <xdr:rowOff>124945</xdr:rowOff>
    </xdr:from>
    <xdr:to>
      <xdr:col>4</xdr:col>
      <xdr:colOff>962025</xdr:colOff>
      <xdr:row>1</xdr:row>
      <xdr:rowOff>609600</xdr:rowOff>
    </xdr:to>
    <xdr:sp macro="" textlink="">
      <xdr:nvSpPr>
        <xdr:cNvPr id="2" name="CaixaDeTexto 1"/>
        <xdr:cNvSpPr txBox="1"/>
      </xdr:nvSpPr>
      <xdr:spPr>
        <a:xfrm>
          <a:off x="2220447" y="286870"/>
          <a:ext cx="3485028" cy="3703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1</xdr:col>
      <xdr:colOff>95251</xdr:colOff>
      <xdr:row>1</xdr:row>
      <xdr:rowOff>122145</xdr:rowOff>
    </xdr:from>
    <xdr:to>
      <xdr:col>2</xdr:col>
      <xdr:colOff>819151</xdr:colOff>
      <xdr:row>1</xdr:row>
      <xdr:rowOff>528124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95326" y="284070"/>
          <a:ext cx="1314450" cy="377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83"/>
  <sheetViews>
    <sheetView showGridLines="0" view="pageBreakPreview" zoomScaleNormal="100" zoomScaleSheetLayoutView="100" workbookViewId="0">
      <selection activeCell="A5" sqref="A5:I5"/>
    </sheetView>
  </sheetViews>
  <sheetFormatPr defaultColWidth="9.140625" defaultRowHeight="12.75"/>
  <cols>
    <col min="1" max="1" width="8.140625" style="274" customWidth="1"/>
    <col min="2" max="2" width="11.28515625" style="274" customWidth="1"/>
    <col min="3" max="3" width="13.28515625" style="274" customWidth="1"/>
    <col min="4" max="4" width="63" style="274" customWidth="1"/>
    <col min="5" max="5" width="7" style="274" customWidth="1"/>
    <col min="6" max="6" width="16.140625" style="311" customWidth="1"/>
    <col min="7" max="8" width="15.7109375" style="311" customWidth="1"/>
    <col min="9" max="9" width="16.140625" style="346" customWidth="1"/>
    <col min="10" max="10" width="22.28515625" style="274" customWidth="1"/>
    <col min="11" max="11" width="10.140625" style="274" customWidth="1"/>
    <col min="12" max="12" width="9.5703125" style="274"/>
    <col min="13" max="13" width="10.5703125" style="274"/>
    <col min="14" max="14" width="9.5703125" style="274"/>
    <col min="15" max="16384" width="9.140625" style="274"/>
  </cols>
  <sheetData>
    <row r="1" spans="1:14" s="229" customFormat="1" ht="18" customHeight="1">
      <c r="A1" s="312"/>
      <c r="B1" s="347" t="s">
        <v>0</v>
      </c>
      <c r="C1" s="347"/>
      <c r="D1" s="396" t="s">
        <v>1</v>
      </c>
      <c r="E1" s="396"/>
      <c r="F1" s="396"/>
      <c r="G1" s="396"/>
      <c r="H1" s="396"/>
      <c r="I1" s="396"/>
      <c r="J1" s="414" t="s">
        <v>2</v>
      </c>
    </row>
    <row r="2" spans="1:14" s="229" customFormat="1" ht="18" customHeight="1">
      <c r="A2" s="312"/>
      <c r="B2" s="312"/>
      <c r="C2" s="312"/>
      <c r="D2" s="396" t="s">
        <v>3</v>
      </c>
      <c r="E2" s="396"/>
      <c r="F2" s="396"/>
      <c r="G2" s="396"/>
      <c r="H2" s="396"/>
      <c r="I2" s="396"/>
      <c r="J2" s="414"/>
    </row>
    <row r="3" spans="1:14" s="229" customFormat="1" ht="18" customHeight="1">
      <c r="A3" s="312"/>
      <c r="B3" s="347"/>
      <c r="C3" s="347"/>
      <c r="D3" s="396" t="s">
        <v>4</v>
      </c>
      <c r="E3" s="396"/>
      <c r="F3" s="396"/>
      <c r="G3" s="396"/>
      <c r="H3" s="396"/>
      <c r="I3" s="396"/>
      <c r="J3" s="414"/>
    </row>
    <row r="4" spans="1:14" s="230" customFormat="1">
      <c r="A4" s="313"/>
      <c r="B4" s="313"/>
      <c r="C4" s="313"/>
      <c r="D4" s="237"/>
      <c r="E4" s="238"/>
      <c r="F4" s="239"/>
      <c r="G4" s="240"/>
      <c r="H4" s="240"/>
      <c r="I4" s="240"/>
      <c r="J4" s="414"/>
    </row>
    <row r="5" spans="1:14" customFormat="1" ht="40.5" customHeight="1">
      <c r="A5" s="397" t="s">
        <v>5</v>
      </c>
      <c r="B5" s="397"/>
      <c r="C5" s="397"/>
      <c r="D5" s="397"/>
      <c r="E5" s="397"/>
      <c r="F5" s="397"/>
      <c r="G5" s="397"/>
      <c r="H5" s="397"/>
      <c r="I5" s="397"/>
      <c r="J5" s="414"/>
    </row>
    <row r="6" spans="1:14" customFormat="1" ht="3" customHeight="1">
      <c r="A6" s="314"/>
      <c r="B6" s="314"/>
      <c r="C6" s="314"/>
      <c r="D6" s="315"/>
      <c r="E6" s="315"/>
      <c r="F6" s="316"/>
      <c r="G6" s="314"/>
      <c r="H6" s="314"/>
      <c r="I6" s="4"/>
      <c r="J6" s="414"/>
    </row>
    <row r="7" spans="1:14" customFormat="1" ht="12.75" customHeight="1">
      <c r="A7" s="395" t="s">
        <v>6</v>
      </c>
      <c r="B7" s="395"/>
      <c r="C7" s="395"/>
      <c r="D7" s="317">
        <f>BDI!D36</f>
        <v>0.21378112315270936</v>
      </c>
      <c r="E7" s="395" t="s">
        <v>7</v>
      </c>
      <c r="F7" s="395"/>
      <c r="G7" s="317">
        <f>'ENC SOCIAIS'!F52</f>
        <v>1.1446999999999998</v>
      </c>
      <c r="H7" s="311"/>
      <c r="I7" s="351"/>
      <c r="J7" s="414"/>
    </row>
    <row r="8" spans="1:14" customFormat="1" ht="12.75" customHeight="1">
      <c r="A8" s="395" t="s">
        <v>562</v>
      </c>
      <c r="B8" s="395"/>
      <c r="C8" s="395"/>
      <c r="D8" s="317">
        <f>'BDI - FORNECIMENTO '!E25</f>
        <v>0.15</v>
      </c>
      <c r="E8" s="395"/>
      <c r="F8" s="395"/>
      <c r="G8" s="317"/>
      <c r="H8" s="311"/>
      <c r="I8" s="351"/>
      <c r="J8" s="414"/>
    </row>
    <row r="9" spans="1:14" ht="12.75" customHeight="1">
      <c r="A9" s="11" t="s">
        <v>8</v>
      </c>
      <c r="B9" s="398" t="s">
        <v>9</v>
      </c>
      <c r="C9" s="398"/>
      <c r="D9" s="398"/>
      <c r="E9" s="318"/>
      <c r="F9" s="318"/>
      <c r="G9" s="318"/>
      <c r="H9" s="318"/>
      <c r="I9" s="318"/>
      <c r="J9" s="414"/>
    </row>
    <row r="10" spans="1:14" ht="21" customHeight="1">
      <c r="A10" s="399" t="s">
        <v>532</v>
      </c>
      <c r="B10" s="400"/>
      <c r="C10" s="400"/>
      <c r="D10" s="400"/>
      <c r="E10" s="400"/>
      <c r="F10" s="400"/>
      <c r="G10" s="400"/>
      <c r="H10" s="400"/>
      <c r="I10" s="401"/>
      <c r="J10" s="337">
        <v>1.5699999999999999E-2</v>
      </c>
      <c r="K10" s="274">
        <v>12340.5579</v>
      </c>
    </row>
    <row r="11" spans="1:14" ht="38.25">
      <c r="A11" s="319" t="s">
        <v>10</v>
      </c>
      <c r="B11" s="320" t="s">
        <v>11</v>
      </c>
      <c r="C11" s="320" t="s">
        <v>12</v>
      </c>
      <c r="D11" s="321" t="s">
        <v>13</v>
      </c>
      <c r="E11" s="322" t="s">
        <v>14</v>
      </c>
      <c r="F11" s="323" t="s">
        <v>15</v>
      </c>
      <c r="G11" s="323" t="s">
        <v>16</v>
      </c>
      <c r="H11" s="323" t="s">
        <v>17</v>
      </c>
      <c r="I11" s="340" t="s">
        <v>18</v>
      </c>
      <c r="J11" s="340" t="s">
        <v>19</v>
      </c>
      <c r="K11" s="274">
        <f>K10/I20</f>
        <v>0.20967470626904128</v>
      </c>
    </row>
    <row r="12" spans="1:14" s="310" customFormat="1" ht="20.100000000000001" customHeight="1">
      <c r="A12" s="324">
        <v>1</v>
      </c>
      <c r="C12" s="325"/>
      <c r="D12" s="326" t="s">
        <v>20</v>
      </c>
      <c r="E12" s="402"/>
      <c r="F12" s="402"/>
      <c r="G12" s="402"/>
      <c r="H12" s="402"/>
      <c r="I12" s="403"/>
      <c r="J12" s="352"/>
    </row>
    <row r="13" spans="1:14" ht="18" customHeight="1">
      <c r="A13" s="327" t="s">
        <v>21</v>
      </c>
      <c r="B13" s="328" t="s">
        <v>22</v>
      </c>
      <c r="C13" s="329" t="s">
        <v>23</v>
      </c>
      <c r="D13" s="271" t="s">
        <v>24</v>
      </c>
      <c r="E13" s="27" t="s">
        <v>25</v>
      </c>
      <c r="F13" s="330">
        <v>1</v>
      </c>
      <c r="G13" s="273">
        <f>H13/(1+$D$7)</f>
        <v>24907.629080170143</v>
      </c>
      <c r="H13" s="273">
        <f>'CPU 01 - SERVIÇOS PRELIMINARES'!H20</f>
        <v>30232.41</v>
      </c>
      <c r="I13" s="353">
        <f t="shared" ref="I13:I19" si="0">ROUND(F13*H13,2)</f>
        <v>30232.41</v>
      </c>
      <c r="J13" s="353">
        <f>ROUND(I13*(1+$J$10),2)</f>
        <v>30707.06</v>
      </c>
      <c r="K13" s="338">
        <f>I13/I79</f>
        <v>6.4383506682168593E-2</v>
      </c>
      <c r="L13" s="274">
        <f>I13/3</f>
        <v>10077.469999999999</v>
      </c>
      <c r="M13" s="274">
        <f>I13/3</f>
        <v>10077.469999999999</v>
      </c>
      <c r="N13" s="274">
        <f>I13/3</f>
        <v>10077.469999999999</v>
      </c>
    </row>
    <row r="14" spans="1:14" ht="18" customHeight="1">
      <c r="A14" s="327" t="s">
        <v>26</v>
      </c>
      <c r="B14" s="328" t="s">
        <v>27</v>
      </c>
      <c r="C14" s="329">
        <v>10775</v>
      </c>
      <c r="D14" s="271" t="s">
        <v>28</v>
      </c>
      <c r="E14" s="27" t="s">
        <v>29</v>
      </c>
      <c r="F14" s="331">
        <v>3</v>
      </c>
      <c r="G14" s="273">
        <v>870</v>
      </c>
      <c r="H14" s="273">
        <f>ROUND(G14*(1+$D$7),2)</f>
        <v>1055.99</v>
      </c>
      <c r="I14" s="353">
        <f t="shared" si="0"/>
        <v>3167.97</v>
      </c>
      <c r="J14" s="353">
        <f t="shared" ref="J14:J19" si="1">ROUND(I14*(1+$J$10),2)</f>
        <v>3217.71</v>
      </c>
      <c r="K14" s="338"/>
    </row>
    <row r="15" spans="1:14" ht="18" customHeight="1">
      <c r="A15" s="327" t="s">
        <v>30</v>
      </c>
      <c r="B15" s="328" t="s">
        <v>31</v>
      </c>
      <c r="C15" s="329">
        <v>4299</v>
      </c>
      <c r="D15" s="271" t="s">
        <v>32</v>
      </c>
      <c r="E15" s="27" t="s">
        <v>29</v>
      </c>
      <c r="F15" s="331">
        <v>3</v>
      </c>
      <c r="G15" s="273">
        <v>654.41999999999996</v>
      </c>
      <c r="H15" s="273">
        <f>ROUND(G15*(1+$D$7),2)</f>
        <v>794.32</v>
      </c>
      <c r="I15" s="353">
        <f t="shared" si="0"/>
        <v>2382.96</v>
      </c>
      <c r="J15" s="353">
        <f t="shared" si="1"/>
        <v>2420.37</v>
      </c>
      <c r="K15" s="338"/>
    </row>
    <row r="16" spans="1:14" ht="18" customHeight="1">
      <c r="A16" s="327" t="s">
        <v>33</v>
      </c>
      <c r="B16" s="328" t="s">
        <v>22</v>
      </c>
      <c r="C16" s="329" t="s">
        <v>34</v>
      </c>
      <c r="D16" s="271" t="s">
        <v>35</v>
      </c>
      <c r="E16" s="27" t="s">
        <v>36</v>
      </c>
      <c r="F16" s="331">
        <v>1</v>
      </c>
      <c r="G16" s="273">
        <f>H16/(1+$D$7)</f>
        <v>7569.2559595393413</v>
      </c>
      <c r="H16" s="273">
        <f>'CPU 01 - SERVIÇOS PRELIMINARES'!H29</f>
        <v>9187.42</v>
      </c>
      <c r="I16" s="353">
        <f t="shared" si="0"/>
        <v>9187.42</v>
      </c>
      <c r="J16" s="353">
        <f t="shared" si="1"/>
        <v>9331.66</v>
      </c>
      <c r="L16" s="311">
        <f>I16</f>
        <v>9187.42</v>
      </c>
    </row>
    <row r="17" spans="1:14" ht="17.25" customHeight="1">
      <c r="A17" s="327" t="s">
        <v>37</v>
      </c>
      <c r="B17" s="328" t="s">
        <v>22</v>
      </c>
      <c r="C17" s="329" t="s">
        <v>34</v>
      </c>
      <c r="D17" s="271" t="s">
        <v>38</v>
      </c>
      <c r="E17" s="27" t="s">
        <v>36</v>
      </c>
      <c r="F17" s="331">
        <v>1</v>
      </c>
      <c r="G17" s="273">
        <f>H17/(1+$D$7)</f>
        <v>7569.2559595393413</v>
      </c>
      <c r="H17" s="273">
        <f>'CPU 01 - SERVIÇOS PRELIMINARES'!H29</f>
        <v>9187.42</v>
      </c>
      <c r="I17" s="353">
        <f t="shared" si="0"/>
        <v>9187.42</v>
      </c>
      <c r="J17" s="353">
        <f t="shared" si="1"/>
        <v>9331.66</v>
      </c>
      <c r="L17" s="311">
        <f>I17</f>
        <v>9187.42</v>
      </c>
    </row>
    <row r="18" spans="1:14" ht="18" customHeight="1">
      <c r="A18" s="327" t="s">
        <v>39</v>
      </c>
      <c r="B18" s="328" t="s">
        <v>22</v>
      </c>
      <c r="C18" s="329" t="s">
        <v>40</v>
      </c>
      <c r="D18" s="271" t="s">
        <v>41</v>
      </c>
      <c r="E18" s="27" t="s">
        <v>42</v>
      </c>
      <c r="F18" s="331">
        <f>3.6*1.8</f>
        <v>6.48</v>
      </c>
      <c r="G18" s="273">
        <f>H18/(1+$D$7)</f>
        <v>376.37757853194393</v>
      </c>
      <c r="H18" s="273">
        <f>'CPU 01 - SERVIÇOS PRELIMINARES'!H43</f>
        <v>456.84</v>
      </c>
      <c r="I18" s="353">
        <f t="shared" si="0"/>
        <v>2960.32</v>
      </c>
      <c r="J18" s="353">
        <f t="shared" si="1"/>
        <v>3006.8</v>
      </c>
      <c r="L18" s="311">
        <f>I18</f>
        <v>2960.32</v>
      </c>
    </row>
    <row r="19" spans="1:14" ht="18" customHeight="1">
      <c r="A19" s="327" t="s">
        <v>43</v>
      </c>
      <c r="B19" s="328" t="s">
        <v>22</v>
      </c>
      <c r="C19" s="329" t="s">
        <v>44</v>
      </c>
      <c r="D19" s="271" t="s">
        <v>45</v>
      </c>
      <c r="E19" s="27" t="s">
        <v>42</v>
      </c>
      <c r="F19" s="331">
        <f>'MC - Livramento'!E10</f>
        <v>3474.46</v>
      </c>
      <c r="G19" s="273">
        <f>H19/(1+$D$7)</f>
        <v>0.41193588404249187</v>
      </c>
      <c r="H19" s="273">
        <f>'CPU 01 - SERVIÇOS PRELIMINARES'!H54</f>
        <v>0.5</v>
      </c>
      <c r="I19" s="353">
        <f t="shared" si="0"/>
        <v>1737.23</v>
      </c>
      <c r="J19" s="353">
        <f t="shared" si="1"/>
        <v>1764.5</v>
      </c>
      <c r="L19" s="311">
        <f>I19</f>
        <v>1737.23</v>
      </c>
    </row>
    <row r="20" spans="1:14" ht="20.100000000000001" customHeight="1">
      <c r="A20" s="404"/>
      <c r="B20" s="405"/>
      <c r="C20" s="406"/>
      <c r="D20" s="406"/>
      <c r="E20" s="407" t="s">
        <v>46</v>
      </c>
      <c r="F20" s="407"/>
      <c r="G20" s="407"/>
      <c r="H20" s="407"/>
      <c r="I20" s="354">
        <f>SUM(I13:I19)</f>
        <v>58855.729999999996</v>
      </c>
      <c r="J20" s="354">
        <f>SUM(J13:J19)</f>
        <v>59779.760000000009</v>
      </c>
      <c r="L20" s="274">
        <f>SUM(L13:L18)</f>
        <v>31412.629999999997</v>
      </c>
      <c r="M20" s="274">
        <f>SUM(M13:M18)</f>
        <v>10077.469999999999</v>
      </c>
      <c r="N20" s="274">
        <f>SUM(N13:N18)</f>
        <v>10077.469999999999</v>
      </c>
    </row>
    <row r="21" spans="1:14" s="310" customFormat="1" ht="20.100000000000001" customHeight="1">
      <c r="A21" s="324">
        <v>2</v>
      </c>
      <c r="C21" s="325"/>
      <c r="D21" s="326" t="s">
        <v>47</v>
      </c>
      <c r="E21" s="402"/>
      <c r="F21" s="402"/>
      <c r="G21" s="402"/>
      <c r="H21" s="402"/>
      <c r="I21" s="402"/>
      <c r="J21" s="402"/>
    </row>
    <row r="22" spans="1:14" ht="38.25">
      <c r="A22" s="327" t="s">
        <v>48</v>
      </c>
      <c r="B22" s="328" t="s">
        <v>27</v>
      </c>
      <c r="C22" s="329">
        <v>98525</v>
      </c>
      <c r="D22" s="271" t="s">
        <v>49</v>
      </c>
      <c r="E22" s="348" t="s">
        <v>50</v>
      </c>
      <c r="F22" s="349">
        <f>'MC - Livramento'!E9</f>
        <v>3474.46</v>
      </c>
      <c r="G22" s="350">
        <v>0.42</v>
      </c>
      <c r="H22" s="350">
        <f>ROUND(G22*(1+$D$7),2)</f>
        <v>0.51</v>
      </c>
      <c r="I22" s="355">
        <f>ROUND(F22*H22,2)</f>
        <v>1771.97</v>
      </c>
      <c r="J22" s="355">
        <f t="shared" ref="J22:J38" si="2">ROUND(I22*(1+$J$10),2)</f>
        <v>1799.79</v>
      </c>
    </row>
    <row r="23" spans="1:14" ht="25.5">
      <c r="A23" s="327" t="s">
        <v>51</v>
      </c>
      <c r="B23" s="328" t="s">
        <v>22</v>
      </c>
      <c r="C23" s="329" t="s">
        <v>52</v>
      </c>
      <c r="D23" s="271" t="s">
        <v>53</v>
      </c>
      <c r="E23" s="27" t="s">
        <v>42</v>
      </c>
      <c r="F23" s="331">
        <f>'MC - Livramento'!E10</f>
        <v>3474.46</v>
      </c>
      <c r="G23" s="273">
        <f>'CPU 02'!H102</f>
        <v>2.2790250000000003</v>
      </c>
      <c r="H23" s="273">
        <f>ROUND(G23*(1+$D$7),2)</f>
        <v>2.77</v>
      </c>
      <c r="I23" s="353">
        <f>ROUND(F23*H23,2)</f>
        <v>9624.25</v>
      </c>
      <c r="J23" s="353">
        <f t="shared" si="2"/>
        <v>9775.35</v>
      </c>
    </row>
    <row r="24" spans="1:14" ht="21.95" customHeight="1">
      <c r="A24" s="404"/>
      <c r="B24" s="405"/>
      <c r="C24" s="406"/>
      <c r="D24" s="406"/>
      <c r="E24" s="407" t="s">
        <v>54</v>
      </c>
      <c r="F24" s="407"/>
      <c r="G24" s="407"/>
      <c r="H24" s="407"/>
      <c r="I24" s="354">
        <f>SUM(I22:I23)</f>
        <v>11396.22</v>
      </c>
      <c r="J24" s="354">
        <f>SUM(J22:J23)</f>
        <v>11575.14</v>
      </c>
    </row>
    <row r="25" spans="1:14" s="310" customFormat="1" ht="20.100000000000001" customHeight="1">
      <c r="A25" s="324">
        <v>3</v>
      </c>
      <c r="C25" s="325"/>
      <c r="D25" s="326" t="s">
        <v>55</v>
      </c>
      <c r="E25" s="402"/>
      <c r="F25" s="402"/>
      <c r="G25" s="402"/>
      <c r="H25" s="402"/>
      <c r="I25" s="402"/>
      <c r="J25" s="402"/>
      <c r="L25" s="339">
        <f>L20/I20</f>
        <v>0.53372254494167348</v>
      </c>
      <c r="M25" s="339">
        <f>M20/I20</f>
        <v>0.17122326067487398</v>
      </c>
      <c r="N25" s="339">
        <f>N20/I20</f>
        <v>0.17122326067487398</v>
      </c>
    </row>
    <row r="26" spans="1:14" s="275" customFormat="1" ht="21.95" customHeight="1">
      <c r="A26" s="342" t="s">
        <v>56</v>
      </c>
      <c r="B26" s="343" t="s">
        <v>57</v>
      </c>
      <c r="C26" s="344"/>
      <c r="D26" s="345"/>
      <c r="E26" s="408"/>
      <c r="F26" s="408"/>
      <c r="G26" s="408"/>
      <c r="H26" s="408"/>
      <c r="I26" s="408"/>
      <c r="J26" s="408"/>
    </row>
    <row r="27" spans="1:14" ht="25.5">
      <c r="A27" s="327" t="s">
        <v>58</v>
      </c>
      <c r="B27" s="328" t="s">
        <v>27</v>
      </c>
      <c r="C27" s="329">
        <v>93358</v>
      </c>
      <c r="D27" s="271" t="s">
        <v>59</v>
      </c>
      <c r="E27" s="348" t="s">
        <v>60</v>
      </c>
      <c r="F27" s="349">
        <f>'MC - Livramento'!E13</f>
        <v>35.842199999999998</v>
      </c>
      <c r="G27" s="350">
        <v>74.33</v>
      </c>
      <c r="H27" s="350">
        <f t="shared" ref="H27:H33" si="3">ROUND(G27*(1+$D$7),2)</f>
        <v>90.22</v>
      </c>
      <c r="I27" s="355">
        <f>ROUND(F27*H27,2)</f>
        <v>3233.68</v>
      </c>
      <c r="J27" s="355">
        <f t="shared" si="2"/>
        <v>3284.45</v>
      </c>
    </row>
    <row r="28" spans="1:14" ht="38.25">
      <c r="A28" s="327" t="s">
        <v>61</v>
      </c>
      <c r="B28" s="328" t="s">
        <v>27</v>
      </c>
      <c r="C28" s="329">
        <v>94273</v>
      </c>
      <c r="D28" s="271" t="s">
        <v>62</v>
      </c>
      <c r="E28" s="27" t="s">
        <v>63</v>
      </c>
      <c r="F28" s="331">
        <f>'MC - Livramento'!E14</f>
        <v>386.12</v>
      </c>
      <c r="G28" s="273">
        <v>42.96</v>
      </c>
      <c r="H28" s="273">
        <f t="shared" si="3"/>
        <v>52.14</v>
      </c>
      <c r="I28" s="353">
        <f t="shared" ref="I28:I38" si="4">ROUND(F28*H28,2)</f>
        <v>20132.3</v>
      </c>
      <c r="J28" s="353">
        <f t="shared" si="2"/>
        <v>20448.38</v>
      </c>
    </row>
    <row r="29" spans="1:14" ht="38.25">
      <c r="A29" s="327" t="s">
        <v>64</v>
      </c>
      <c r="B29" s="328" t="s">
        <v>27</v>
      </c>
      <c r="C29" s="329">
        <v>94274</v>
      </c>
      <c r="D29" s="271" t="s">
        <v>65</v>
      </c>
      <c r="E29" s="27" t="s">
        <v>63</v>
      </c>
      <c r="F29" s="331">
        <f>'MC - Livramento'!E15</f>
        <v>211.25</v>
      </c>
      <c r="G29" s="273">
        <v>47</v>
      </c>
      <c r="H29" s="273">
        <f t="shared" si="3"/>
        <v>57.05</v>
      </c>
      <c r="I29" s="353">
        <f t="shared" si="4"/>
        <v>12051.81</v>
      </c>
      <c r="J29" s="353">
        <f t="shared" si="2"/>
        <v>12241.02</v>
      </c>
    </row>
    <row r="30" spans="1:14" ht="18" customHeight="1">
      <c r="A30" s="327" t="s">
        <v>66</v>
      </c>
      <c r="B30" s="328" t="s">
        <v>27</v>
      </c>
      <c r="C30" s="329">
        <v>96995</v>
      </c>
      <c r="D30" s="271" t="s">
        <v>67</v>
      </c>
      <c r="E30" s="27" t="s">
        <v>60</v>
      </c>
      <c r="F30" s="331">
        <f>'MC - Livramento'!E16</f>
        <v>19.115839999999995</v>
      </c>
      <c r="G30" s="273">
        <v>45.06</v>
      </c>
      <c r="H30" s="273">
        <f t="shared" si="3"/>
        <v>54.69</v>
      </c>
      <c r="I30" s="353">
        <f t="shared" si="4"/>
        <v>1045.45</v>
      </c>
      <c r="J30" s="353">
        <f t="shared" si="2"/>
        <v>1061.8599999999999</v>
      </c>
      <c r="K30" s="274" t="s">
        <v>68</v>
      </c>
    </row>
    <row r="31" spans="1:14" ht="27.75" customHeight="1">
      <c r="A31" s="327" t="s">
        <v>69</v>
      </c>
      <c r="B31" s="328" t="s">
        <v>31</v>
      </c>
      <c r="C31" s="329">
        <v>2581</v>
      </c>
      <c r="D31" s="271" t="s">
        <v>70</v>
      </c>
      <c r="E31" s="27" t="s">
        <v>60</v>
      </c>
      <c r="F31" s="331">
        <f>'MC - Livramento'!E17</f>
        <v>428.75599999999997</v>
      </c>
      <c r="G31" s="273">
        <v>18.079999999999998</v>
      </c>
      <c r="H31" s="273">
        <f t="shared" si="3"/>
        <v>21.95</v>
      </c>
      <c r="I31" s="353">
        <f t="shared" si="4"/>
        <v>9411.19</v>
      </c>
      <c r="J31" s="353">
        <f t="shared" si="2"/>
        <v>9558.9500000000007</v>
      </c>
    </row>
    <row r="32" spans="1:14" ht="25.5">
      <c r="A32" s="327" t="s">
        <v>71</v>
      </c>
      <c r="B32" s="328" t="s">
        <v>31</v>
      </c>
      <c r="C32" s="329">
        <v>11726</v>
      </c>
      <c r="D32" s="271" t="s">
        <v>72</v>
      </c>
      <c r="E32" s="27" t="s">
        <v>60</v>
      </c>
      <c r="F32" s="331">
        <f>'MC - Livramento'!E18</f>
        <v>428.75599999999997</v>
      </c>
      <c r="G32" s="273">
        <v>16.47</v>
      </c>
      <c r="H32" s="273">
        <f t="shared" si="3"/>
        <v>19.989999999999998</v>
      </c>
      <c r="I32" s="353">
        <f t="shared" si="4"/>
        <v>8570.83</v>
      </c>
      <c r="J32" s="353">
        <f t="shared" si="2"/>
        <v>8705.39</v>
      </c>
    </row>
    <row r="33" spans="1:10" ht="25.5">
      <c r="A33" s="327" t="s">
        <v>73</v>
      </c>
      <c r="B33" s="328" t="s">
        <v>27</v>
      </c>
      <c r="C33" s="329">
        <v>93592</v>
      </c>
      <c r="D33" s="271" t="s">
        <v>74</v>
      </c>
      <c r="E33" s="27" t="s">
        <v>75</v>
      </c>
      <c r="F33" s="331">
        <f>'MC - Livramento'!E19</f>
        <v>2143.7799999999997</v>
      </c>
      <c r="G33" s="273">
        <v>1.82</v>
      </c>
      <c r="H33" s="273">
        <f t="shared" si="3"/>
        <v>2.21</v>
      </c>
      <c r="I33" s="353">
        <f t="shared" si="4"/>
        <v>4737.75</v>
      </c>
      <c r="J33" s="353">
        <f t="shared" si="2"/>
        <v>4812.13</v>
      </c>
    </row>
    <row r="34" spans="1:10">
      <c r="A34" s="327" t="s">
        <v>76</v>
      </c>
      <c r="B34" s="328" t="s">
        <v>22</v>
      </c>
      <c r="C34" s="329" t="s">
        <v>77</v>
      </c>
      <c r="D34" s="271" t="s">
        <v>78</v>
      </c>
      <c r="E34" s="27" t="s">
        <v>79</v>
      </c>
      <c r="F34" s="331">
        <f>'MC - Livramento'!E20</f>
        <v>2.7869140000000003</v>
      </c>
      <c r="G34" s="273">
        <f>'MC - Material asfáltico'!V17</f>
        <v>3738.32</v>
      </c>
      <c r="H34" s="273">
        <f>G34*(1+D8)</f>
        <v>4299.0680000000002</v>
      </c>
      <c r="I34" s="353">
        <f t="shared" si="4"/>
        <v>11981.13</v>
      </c>
      <c r="J34" s="353">
        <f t="shared" si="2"/>
        <v>12169.23</v>
      </c>
    </row>
    <row r="35" spans="1:10">
      <c r="A35" s="327" t="s">
        <v>80</v>
      </c>
      <c r="B35" s="328" t="s">
        <v>81</v>
      </c>
      <c r="C35" s="329">
        <v>4011352</v>
      </c>
      <c r="D35" s="271" t="s">
        <v>82</v>
      </c>
      <c r="E35" s="27" t="s">
        <v>42</v>
      </c>
      <c r="F35" s="331">
        <f>'MC - Livramento'!E21</f>
        <v>2143.7800000000002</v>
      </c>
      <c r="G35" s="273">
        <v>0.34</v>
      </c>
      <c r="H35" s="273">
        <f>ROUND(G35*(1+$D$7),2)</f>
        <v>0.41</v>
      </c>
      <c r="I35" s="353">
        <f t="shared" si="4"/>
        <v>878.95</v>
      </c>
      <c r="J35" s="353">
        <f t="shared" si="2"/>
        <v>892.75</v>
      </c>
    </row>
    <row r="36" spans="1:10">
      <c r="A36" s="327" t="s">
        <v>83</v>
      </c>
      <c r="B36" s="328" t="s">
        <v>22</v>
      </c>
      <c r="C36" s="329" t="s">
        <v>84</v>
      </c>
      <c r="D36" s="271" t="s">
        <v>85</v>
      </c>
      <c r="E36" s="27" t="s">
        <v>79</v>
      </c>
      <c r="F36" s="331">
        <f>'MC - Livramento'!E22</f>
        <v>11.404909600000002</v>
      </c>
      <c r="G36" s="273">
        <f>'MC - Material asfáltico'!V18</f>
        <v>4587.2800000000007</v>
      </c>
      <c r="H36" s="273">
        <f>G36*(1+D8)</f>
        <v>5275.3720000000003</v>
      </c>
      <c r="I36" s="353">
        <f t="shared" si="4"/>
        <v>60165.14</v>
      </c>
      <c r="J36" s="353">
        <f t="shared" si="2"/>
        <v>61109.73</v>
      </c>
    </row>
    <row r="37" spans="1:10">
      <c r="A37" s="327" t="s">
        <v>86</v>
      </c>
      <c r="B37" s="328" t="s">
        <v>81</v>
      </c>
      <c r="C37" s="329">
        <v>4011463</v>
      </c>
      <c r="D37" s="271" t="s">
        <v>87</v>
      </c>
      <c r="E37" s="27" t="s">
        <v>79</v>
      </c>
      <c r="F37" s="331">
        <f>'MC - Livramento'!E23</f>
        <v>207.94666000000001</v>
      </c>
      <c r="G37" s="273">
        <v>143.16</v>
      </c>
      <c r="H37" s="273">
        <f>ROUND(G37*(1+$D$7),2)</f>
        <v>173.76</v>
      </c>
      <c r="I37" s="353">
        <f t="shared" si="4"/>
        <v>36132.81</v>
      </c>
      <c r="J37" s="353">
        <f t="shared" si="2"/>
        <v>36700.1</v>
      </c>
    </row>
    <row r="38" spans="1:10">
      <c r="A38" s="327" t="s">
        <v>88</v>
      </c>
      <c r="B38" s="328" t="s">
        <v>27</v>
      </c>
      <c r="C38" s="329">
        <v>93204</v>
      </c>
      <c r="D38" s="271" t="s">
        <v>89</v>
      </c>
      <c r="E38" s="27" t="s">
        <v>63</v>
      </c>
      <c r="F38" s="331">
        <f>'MC - Livramento'!E24</f>
        <v>25</v>
      </c>
      <c r="G38" s="273">
        <v>69.97</v>
      </c>
      <c r="H38" s="273">
        <f>ROUND(G38*(1+$D$7),2)</f>
        <v>84.93</v>
      </c>
      <c r="I38" s="353">
        <f t="shared" si="4"/>
        <v>2123.25</v>
      </c>
      <c r="J38" s="353">
        <f t="shared" si="2"/>
        <v>2156.59</v>
      </c>
    </row>
    <row r="39" spans="1:10" ht="21.95" customHeight="1">
      <c r="A39" s="404"/>
      <c r="B39" s="405"/>
      <c r="C39" s="406"/>
      <c r="D39" s="406"/>
      <c r="E39" s="407" t="s">
        <v>90</v>
      </c>
      <c r="F39" s="407"/>
      <c r="G39" s="407"/>
      <c r="H39" s="407"/>
      <c r="I39" s="356">
        <f>SUM(I27:I38)</f>
        <v>170464.28999999998</v>
      </c>
      <c r="J39" s="356">
        <f>SUM(J27:J38)</f>
        <v>173140.58000000002</v>
      </c>
    </row>
    <row r="40" spans="1:10" s="275" customFormat="1" ht="21.95" customHeight="1">
      <c r="A40" s="342" t="s">
        <v>91</v>
      </c>
      <c r="B40" s="343" t="s">
        <v>92</v>
      </c>
      <c r="C40" s="344"/>
      <c r="D40" s="345"/>
      <c r="E40" s="408"/>
      <c r="F40" s="408"/>
      <c r="G40" s="408"/>
      <c r="H40" s="408"/>
      <c r="I40" s="408"/>
      <c r="J40" s="408"/>
    </row>
    <row r="41" spans="1:10" ht="25.5">
      <c r="A41" s="327" t="s">
        <v>93</v>
      </c>
      <c r="B41" s="328" t="s">
        <v>27</v>
      </c>
      <c r="C41" s="329">
        <v>93358</v>
      </c>
      <c r="D41" s="271" t="s">
        <v>94</v>
      </c>
      <c r="E41" s="348" t="s">
        <v>60</v>
      </c>
      <c r="F41" s="349">
        <f>'MC - Livramento'!E27</f>
        <v>4.6390500000000001</v>
      </c>
      <c r="G41" s="350">
        <v>74.33</v>
      </c>
      <c r="H41" s="350">
        <f>ROUND(G41*(1+$D$7),2)</f>
        <v>90.22</v>
      </c>
      <c r="I41" s="355">
        <f t="shared" ref="I41:I46" si="5">ROUND(F41*H41,2)</f>
        <v>418.54</v>
      </c>
      <c r="J41" s="355">
        <f t="shared" ref="J41:J46" si="6">ROUND(I41*(1+$J$10),2)</f>
        <v>425.11</v>
      </c>
    </row>
    <row r="42" spans="1:10" ht="25.5">
      <c r="A42" s="327" t="s">
        <v>95</v>
      </c>
      <c r="B42" s="328" t="s">
        <v>27</v>
      </c>
      <c r="C42" s="329">
        <v>95240</v>
      </c>
      <c r="D42" s="271" t="s">
        <v>96</v>
      </c>
      <c r="E42" s="27" t="s">
        <v>42</v>
      </c>
      <c r="F42" s="331">
        <f>'MC - Livramento'!E28</f>
        <v>35.685000000000002</v>
      </c>
      <c r="G42" s="273">
        <v>17.43</v>
      </c>
      <c r="H42" s="273">
        <f>ROUND(G42*(1+$D$7),2)</f>
        <v>21.16</v>
      </c>
      <c r="I42" s="353">
        <f t="shared" si="5"/>
        <v>755.09</v>
      </c>
      <c r="J42" s="353">
        <f t="shared" si="6"/>
        <v>766.94</v>
      </c>
    </row>
    <row r="43" spans="1:10" ht="51">
      <c r="A43" s="327" t="s">
        <v>97</v>
      </c>
      <c r="B43" s="328" t="s">
        <v>27</v>
      </c>
      <c r="C43" s="329">
        <v>94279</v>
      </c>
      <c r="D43" s="271" t="s">
        <v>98</v>
      </c>
      <c r="E43" s="27" t="s">
        <v>63</v>
      </c>
      <c r="F43" s="331">
        <f>'MC - Livramento'!E29</f>
        <v>356.85</v>
      </c>
      <c r="G43" s="273">
        <v>38.64</v>
      </c>
      <c r="H43" s="273">
        <f>ROUND(G43*(1+$D$7),2)</f>
        <v>46.9</v>
      </c>
      <c r="I43" s="353">
        <f t="shared" si="5"/>
        <v>16736.27</v>
      </c>
      <c r="J43" s="353">
        <f t="shared" si="6"/>
        <v>16999.03</v>
      </c>
    </row>
    <row r="44" spans="1:10" ht="27.75" customHeight="1">
      <c r="A44" s="327" t="s">
        <v>99</v>
      </c>
      <c r="B44" s="328" t="s">
        <v>27</v>
      </c>
      <c r="C44" s="329">
        <v>96995</v>
      </c>
      <c r="D44" s="271" t="s">
        <v>67</v>
      </c>
      <c r="E44" s="27" t="s">
        <v>60</v>
      </c>
      <c r="F44" s="331">
        <f>'MC - Livramento'!E30</f>
        <v>1.6236674999999998</v>
      </c>
      <c r="G44" s="273">
        <v>45.06</v>
      </c>
      <c r="H44" s="273">
        <f>ROUND(G44*(1+$D$7),2)</f>
        <v>54.69</v>
      </c>
      <c r="I44" s="353">
        <f t="shared" si="5"/>
        <v>88.8</v>
      </c>
      <c r="J44" s="353">
        <f t="shared" si="6"/>
        <v>90.19</v>
      </c>
    </row>
    <row r="45" spans="1:10" ht="25.5">
      <c r="A45" s="327" t="s">
        <v>100</v>
      </c>
      <c r="B45" s="328" t="s">
        <v>22</v>
      </c>
      <c r="C45" s="329" t="s">
        <v>101</v>
      </c>
      <c r="D45" s="271" t="s">
        <v>102</v>
      </c>
      <c r="E45" s="27" t="s">
        <v>42</v>
      </c>
      <c r="F45" s="331">
        <f>'MC - Livramento'!E31</f>
        <v>790.04</v>
      </c>
      <c r="G45" s="273">
        <f>H45/(1+$D$7)</f>
        <v>55.721929357679386</v>
      </c>
      <c r="H45" s="273">
        <f>'CPU 02'!H26</f>
        <v>67.634226000000012</v>
      </c>
      <c r="I45" s="353">
        <f t="shared" si="5"/>
        <v>53433.74</v>
      </c>
      <c r="J45" s="353">
        <f t="shared" si="6"/>
        <v>54272.65</v>
      </c>
    </row>
    <row r="46" spans="1:10" ht="27.75" customHeight="1">
      <c r="A46" s="327" t="s">
        <v>103</v>
      </c>
      <c r="B46" s="328" t="s">
        <v>22</v>
      </c>
      <c r="C46" s="329" t="s">
        <v>104</v>
      </c>
      <c r="D46" s="271" t="s">
        <v>105</v>
      </c>
      <c r="E46" s="27" t="s">
        <v>42</v>
      </c>
      <c r="F46" s="331">
        <f>'MC - Livramento'!E32</f>
        <v>487.87</v>
      </c>
      <c r="G46" s="273">
        <f>H46/(1+$D$7)</f>
        <v>73.588847524663876</v>
      </c>
      <c r="H46" s="273">
        <f>'CPU 02'!H41</f>
        <v>89.320753999999994</v>
      </c>
      <c r="I46" s="353">
        <f t="shared" si="5"/>
        <v>43576.92</v>
      </c>
      <c r="J46" s="353">
        <f t="shared" si="6"/>
        <v>44261.08</v>
      </c>
    </row>
    <row r="47" spans="1:10" ht="21.95" customHeight="1">
      <c r="A47" s="404"/>
      <c r="B47" s="405"/>
      <c r="C47" s="406"/>
      <c r="D47" s="406"/>
      <c r="E47" s="409" t="s">
        <v>106</v>
      </c>
      <c r="F47" s="409"/>
      <c r="G47" s="409"/>
      <c r="H47" s="409"/>
      <c r="I47" s="357">
        <f>SUM(I41:I46)</f>
        <v>115009.36</v>
      </c>
      <c r="J47" s="357">
        <f>SUM(J41:J46)</f>
        <v>116815</v>
      </c>
    </row>
    <row r="48" spans="1:10" ht="21.95" customHeight="1">
      <c r="A48" s="404"/>
      <c r="B48" s="405"/>
      <c r="C48" s="406"/>
      <c r="D48" s="406"/>
      <c r="E48" s="409" t="s">
        <v>107</v>
      </c>
      <c r="F48" s="409"/>
      <c r="G48" s="409"/>
      <c r="H48" s="409"/>
      <c r="I48" s="341">
        <f>SUM(I39+I47)</f>
        <v>285473.64999999997</v>
      </c>
      <c r="J48" s="341">
        <f>SUM(J39+J47)</f>
        <v>289955.58</v>
      </c>
    </row>
    <row r="49" spans="1:10" s="310" customFormat="1" ht="21.95" customHeight="1">
      <c r="A49" s="324">
        <v>4</v>
      </c>
      <c r="B49" s="332"/>
      <c r="D49" s="326" t="s">
        <v>108</v>
      </c>
      <c r="E49" s="402"/>
      <c r="F49" s="402"/>
      <c r="G49" s="402"/>
      <c r="H49" s="402"/>
      <c r="I49" s="402"/>
      <c r="J49" s="402"/>
    </row>
    <row r="50" spans="1:10" ht="18.75" customHeight="1">
      <c r="A50" s="327" t="s">
        <v>109</v>
      </c>
      <c r="B50" s="329" t="s">
        <v>31</v>
      </c>
      <c r="C50" s="329">
        <v>3212</v>
      </c>
      <c r="D50" s="271" t="s">
        <v>110</v>
      </c>
      <c r="E50" s="348" t="s">
        <v>60</v>
      </c>
      <c r="F50" s="349">
        <f>'MC - Livramento'!E35</f>
        <v>45.400000000000006</v>
      </c>
      <c r="G50" s="350">
        <v>133.38999999999999</v>
      </c>
      <c r="H50" s="350">
        <f>ROUND(G50*(1+$D$7),2)</f>
        <v>161.91</v>
      </c>
      <c r="I50" s="355">
        <f>ROUND(F50*H50,2)</f>
        <v>7350.71</v>
      </c>
      <c r="J50" s="355">
        <f t="shared" ref="J50:J70" si="7">ROUND(I50*(1+$J$10),2)</f>
        <v>7466.12</v>
      </c>
    </row>
    <row r="51" spans="1:10" ht="27" customHeight="1">
      <c r="A51" s="327" t="s">
        <v>111</v>
      </c>
      <c r="B51" s="328" t="s">
        <v>22</v>
      </c>
      <c r="C51" s="329" t="s">
        <v>112</v>
      </c>
      <c r="D51" s="271" t="s">
        <v>113</v>
      </c>
      <c r="E51" s="27" t="s">
        <v>114</v>
      </c>
      <c r="F51" s="331">
        <f>'MC - Livramento'!E36</f>
        <v>1</v>
      </c>
      <c r="G51" s="273">
        <f>'CPU 02'!H88</f>
        <v>12383.94</v>
      </c>
      <c r="H51" s="273">
        <f>ROUND(G51*(1+$D$7),2)</f>
        <v>15031.39</v>
      </c>
      <c r="I51" s="353">
        <f>ROUND(F51*H51,2)</f>
        <v>15031.39</v>
      </c>
      <c r="J51" s="353">
        <f t="shared" si="7"/>
        <v>15267.38</v>
      </c>
    </row>
    <row r="52" spans="1:10" ht="21.95" customHeight="1">
      <c r="A52" s="404"/>
      <c r="B52" s="405"/>
      <c r="C52" s="406"/>
      <c r="D52" s="406"/>
      <c r="E52" s="407" t="s">
        <v>115</v>
      </c>
      <c r="F52" s="407"/>
      <c r="G52" s="407"/>
      <c r="H52" s="407"/>
      <c r="I52" s="354">
        <f>SUM(I50:I51)</f>
        <v>22382.1</v>
      </c>
      <c r="J52" s="354">
        <f>SUM(J50:J51)</f>
        <v>22733.5</v>
      </c>
    </row>
    <row r="53" spans="1:10" s="310" customFormat="1" ht="21.95" customHeight="1">
      <c r="A53" s="324">
        <v>5</v>
      </c>
      <c r="B53" s="332"/>
      <c r="D53" s="326" t="s">
        <v>116</v>
      </c>
      <c r="E53" s="402"/>
      <c r="F53" s="402"/>
      <c r="G53" s="402"/>
      <c r="H53" s="402"/>
      <c r="I53" s="402"/>
      <c r="J53" s="402"/>
    </row>
    <row r="54" spans="1:10" ht="63.75">
      <c r="A54" s="327" t="s">
        <v>117</v>
      </c>
      <c r="B54" s="329" t="s">
        <v>27</v>
      </c>
      <c r="C54" s="329">
        <v>90106</v>
      </c>
      <c r="D54" s="271" t="s">
        <v>118</v>
      </c>
      <c r="E54" s="348" t="s">
        <v>119</v>
      </c>
      <c r="F54" s="349">
        <f>'MC - Livramento'!E39</f>
        <v>80</v>
      </c>
      <c r="G54" s="350">
        <v>6.93</v>
      </c>
      <c r="H54" s="350">
        <f t="shared" ref="H54:H70" si="8">ROUND(G54*(1+$D$7),2)</f>
        <v>8.41</v>
      </c>
      <c r="I54" s="355">
        <f>ROUND(F54*H54,2)</f>
        <v>672.8</v>
      </c>
      <c r="J54" s="355">
        <f t="shared" si="7"/>
        <v>683.36</v>
      </c>
    </row>
    <row r="55" spans="1:10" ht="27" customHeight="1">
      <c r="A55" s="327" t="s">
        <v>120</v>
      </c>
      <c r="B55" s="329" t="s">
        <v>31</v>
      </c>
      <c r="C55" s="329">
        <v>3212</v>
      </c>
      <c r="D55" s="271" t="s">
        <v>121</v>
      </c>
      <c r="E55" s="27" t="s">
        <v>119</v>
      </c>
      <c r="F55" s="331">
        <f>'MC - Livramento'!E40</f>
        <v>10</v>
      </c>
      <c r="G55" s="273">
        <v>133.38999999999999</v>
      </c>
      <c r="H55" s="273">
        <f>ROUND(G55*(1+$D$7),2)</f>
        <v>161.91</v>
      </c>
      <c r="I55" s="353">
        <f>ROUND(F55*H55,2)</f>
        <v>1619.1</v>
      </c>
      <c r="J55" s="353">
        <f t="shared" si="7"/>
        <v>1644.52</v>
      </c>
    </row>
    <row r="56" spans="1:10" ht="51">
      <c r="A56" s="327" t="s">
        <v>122</v>
      </c>
      <c r="B56" s="329" t="s">
        <v>31</v>
      </c>
      <c r="C56" s="329">
        <v>93378</v>
      </c>
      <c r="D56" s="271" t="s">
        <v>123</v>
      </c>
      <c r="E56" s="27" t="s">
        <v>119</v>
      </c>
      <c r="F56" s="331">
        <f>'MC - Livramento'!E41</f>
        <v>69.295000000000002</v>
      </c>
      <c r="G56" s="273">
        <v>19.34</v>
      </c>
      <c r="H56" s="273">
        <f t="shared" si="8"/>
        <v>23.47</v>
      </c>
      <c r="I56" s="353">
        <f t="shared" ref="I56:I70" si="9">ROUND(F56*H56,2)</f>
        <v>1626.35</v>
      </c>
      <c r="J56" s="353">
        <f t="shared" si="7"/>
        <v>1651.88</v>
      </c>
    </row>
    <row r="57" spans="1:10" ht="25.5">
      <c r="A57" s="327" t="s">
        <v>124</v>
      </c>
      <c r="B57" s="329" t="s">
        <v>27</v>
      </c>
      <c r="C57" s="329">
        <v>93671</v>
      </c>
      <c r="D57" s="271" t="s">
        <v>125</v>
      </c>
      <c r="E57" s="27" t="s">
        <v>14</v>
      </c>
      <c r="F57" s="331">
        <f>'MC - Livramento'!E42</f>
        <v>1</v>
      </c>
      <c r="G57" s="273">
        <v>83.72</v>
      </c>
      <c r="H57" s="273">
        <f t="shared" si="8"/>
        <v>101.62</v>
      </c>
      <c r="I57" s="353">
        <f t="shared" si="9"/>
        <v>101.62</v>
      </c>
      <c r="J57" s="353">
        <f t="shared" si="7"/>
        <v>103.22</v>
      </c>
    </row>
    <row r="58" spans="1:10" ht="25.5">
      <c r="A58" s="327" t="s">
        <v>126</v>
      </c>
      <c r="B58" s="329" t="s">
        <v>27</v>
      </c>
      <c r="C58" s="329">
        <v>93667</v>
      </c>
      <c r="D58" s="271" t="s">
        <v>127</v>
      </c>
      <c r="E58" s="27" t="s">
        <v>14</v>
      </c>
      <c r="F58" s="331">
        <f>'MC - Livramento'!E43</f>
        <v>6</v>
      </c>
      <c r="G58" s="273">
        <v>74.260000000000005</v>
      </c>
      <c r="H58" s="273">
        <f t="shared" si="8"/>
        <v>90.14</v>
      </c>
      <c r="I58" s="353">
        <f t="shared" si="9"/>
        <v>540.84</v>
      </c>
      <c r="J58" s="353">
        <f t="shared" si="7"/>
        <v>549.33000000000004</v>
      </c>
    </row>
    <row r="59" spans="1:10">
      <c r="A59" s="327" t="s">
        <v>128</v>
      </c>
      <c r="B59" s="329" t="s">
        <v>27</v>
      </c>
      <c r="C59" s="329">
        <v>91865</v>
      </c>
      <c r="D59" s="271" t="s">
        <v>129</v>
      </c>
      <c r="E59" s="27" t="s">
        <v>63</v>
      </c>
      <c r="F59" s="331">
        <f>'MC - Livramento'!E44</f>
        <v>65</v>
      </c>
      <c r="G59" s="273">
        <v>17.73</v>
      </c>
      <c r="H59" s="273">
        <f t="shared" si="8"/>
        <v>21.52</v>
      </c>
      <c r="I59" s="353">
        <f t="shared" si="9"/>
        <v>1398.8</v>
      </c>
      <c r="J59" s="353">
        <f t="shared" si="7"/>
        <v>1420.76</v>
      </c>
    </row>
    <row r="60" spans="1:10">
      <c r="A60" s="327" t="s">
        <v>130</v>
      </c>
      <c r="B60" s="329" t="s">
        <v>27</v>
      </c>
      <c r="C60" s="329">
        <v>91863</v>
      </c>
      <c r="D60" s="271" t="s">
        <v>131</v>
      </c>
      <c r="E60" s="27" t="s">
        <v>63</v>
      </c>
      <c r="F60" s="331">
        <f>'MC - Livramento'!E45</f>
        <v>435</v>
      </c>
      <c r="G60" s="273">
        <v>10.84</v>
      </c>
      <c r="H60" s="273">
        <f>ROUND(G60*(1+$D$7),2)</f>
        <v>13.16</v>
      </c>
      <c r="I60" s="353">
        <f>ROUND(F60*H60,2)</f>
        <v>5724.6</v>
      </c>
      <c r="J60" s="353">
        <f t="shared" si="7"/>
        <v>5814.48</v>
      </c>
    </row>
    <row r="61" spans="1:10" ht="25.5">
      <c r="A61" s="327" t="s">
        <v>132</v>
      </c>
      <c r="B61" s="329" t="s">
        <v>31</v>
      </c>
      <c r="C61" s="329">
        <v>7237</v>
      </c>
      <c r="D61" s="271" t="s">
        <v>133</v>
      </c>
      <c r="E61" s="27" t="s">
        <v>134</v>
      </c>
      <c r="F61" s="331">
        <f>'MC - Livramento'!E46</f>
        <v>16</v>
      </c>
      <c r="G61" s="273">
        <v>197.14</v>
      </c>
      <c r="H61" s="273">
        <f t="shared" si="8"/>
        <v>239.28</v>
      </c>
      <c r="I61" s="353">
        <f t="shared" si="9"/>
        <v>3828.48</v>
      </c>
      <c r="J61" s="353">
        <f t="shared" si="7"/>
        <v>3888.59</v>
      </c>
    </row>
    <row r="62" spans="1:10">
      <c r="A62" s="327" t="s">
        <v>135</v>
      </c>
      <c r="B62" s="329" t="s">
        <v>31</v>
      </c>
      <c r="C62" s="329">
        <v>6410</v>
      </c>
      <c r="D62" s="271" t="s">
        <v>136</v>
      </c>
      <c r="E62" s="27" t="s">
        <v>134</v>
      </c>
      <c r="F62" s="331">
        <f>'MC - Livramento'!E47</f>
        <v>16</v>
      </c>
      <c r="G62" s="273">
        <v>27.38</v>
      </c>
      <c r="H62" s="273">
        <f t="shared" si="8"/>
        <v>33.229999999999997</v>
      </c>
      <c r="I62" s="353">
        <f>ROUND(F62*H62,2)</f>
        <v>531.67999999999995</v>
      </c>
      <c r="J62" s="353">
        <f t="shared" si="7"/>
        <v>540.03</v>
      </c>
    </row>
    <row r="63" spans="1:10" ht="25.5">
      <c r="A63" s="327" t="s">
        <v>137</v>
      </c>
      <c r="B63" s="329" t="s">
        <v>22</v>
      </c>
      <c r="C63" s="329" t="s">
        <v>138</v>
      </c>
      <c r="D63" s="271" t="s">
        <v>139</v>
      </c>
      <c r="E63" s="27" t="s">
        <v>14</v>
      </c>
      <c r="F63" s="331">
        <f>'MC - Livramento'!E48</f>
        <v>16</v>
      </c>
      <c r="G63" s="273">
        <f>'CPU 02'!H51</f>
        <v>2097.9549999999999</v>
      </c>
      <c r="H63" s="273">
        <f t="shared" si="8"/>
        <v>2546.46</v>
      </c>
      <c r="I63" s="353">
        <f t="shared" si="9"/>
        <v>40743.360000000001</v>
      </c>
      <c r="J63" s="353">
        <f t="shared" si="7"/>
        <v>41383.03</v>
      </c>
    </row>
    <row r="64" spans="1:10" ht="27" customHeight="1">
      <c r="A64" s="327" t="s">
        <v>140</v>
      </c>
      <c r="B64" s="329" t="s">
        <v>27</v>
      </c>
      <c r="C64" s="329">
        <v>91926</v>
      </c>
      <c r="D64" s="271" t="s">
        <v>141</v>
      </c>
      <c r="E64" s="27" t="s">
        <v>142</v>
      </c>
      <c r="F64" s="331">
        <f>'MC - Livramento'!E49</f>
        <v>970</v>
      </c>
      <c r="G64" s="273">
        <v>4.28</v>
      </c>
      <c r="H64" s="273">
        <f t="shared" si="8"/>
        <v>5.19</v>
      </c>
      <c r="I64" s="353">
        <f t="shared" si="9"/>
        <v>5034.3</v>
      </c>
      <c r="J64" s="353">
        <f t="shared" si="7"/>
        <v>5113.34</v>
      </c>
    </row>
    <row r="65" spans="1:10" ht="27" customHeight="1">
      <c r="A65" s="327" t="s">
        <v>143</v>
      </c>
      <c r="B65" s="329" t="s">
        <v>27</v>
      </c>
      <c r="C65" s="329">
        <v>91932</v>
      </c>
      <c r="D65" s="271" t="s">
        <v>144</v>
      </c>
      <c r="E65" s="27" t="s">
        <v>142</v>
      </c>
      <c r="F65" s="331">
        <f>'MC - Livramento'!E50</f>
        <v>260</v>
      </c>
      <c r="G65" s="273">
        <v>15.81</v>
      </c>
      <c r="H65" s="273">
        <f t="shared" si="8"/>
        <v>19.190000000000001</v>
      </c>
      <c r="I65" s="353">
        <f t="shared" si="9"/>
        <v>4989.3999999999996</v>
      </c>
      <c r="J65" s="353">
        <f t="shared" si="7"/>
        <v>5067.7299999999996</v>
      </c>
    </row>
    <row r="66" spans="1:10" ht="16.5" customHeight="1">
      <c r="A66" s="327" t="s">
        <v>145</v>
      </c>
      <c r="B66" s="329" t="s">
        <v>27</v>
      </c>
      <c r="C66" s="329">
        <v>96985</v>
      </c>
      <c r="D66" s="271" t="s">
        <v>146</v>
      </c>
      <c r="E66" s="27" t="s">
        <v>147</v>
      </c>
      <c r="F66" s="331">
        <f>'MC - Livramento'!E51</f>
        <v>16</v>
      </c>
      <c r="G66" s="273">
        <v>89.17</v>
      </c>
      <c r="H66" s="273">
        <f t="shared" si="8"/>
        <v>108.23</v>
      </c>
      <c r="I66" s="353">
        <f t="shared" si="9"/>
        <v>1731.68</v>
      </c>
      <c r="J66" s="353">
        <f t="shared" si="7"/>
        <v>1758.87</v>
      </c>
    </row>
    <row r="67" spans="1:10" ht="16.5" customHeight="1">
      <c r="A67" s="327" t="s">
        <v>148</v>
      </c>
      <c r="B67" s="329" t="s">
        <v>27</v>
      </c>
      <c r="C67" s="329">
        <v>101549</v>
      </c>
      <c r="D67" s="271" t="s">
        <v>149</v>
      </c>
      <c r="E67" s="27" t="s">
        <v>147</v>
      </c>
      <c r="F67" s="331">
        <f>'MC - Livramento'!E52</f>
        <v>16</v>
      </c>
      <c r="G67" s="273">
        <v>20.85</v>
      </c>
      <c r="H67" s="273">
        <f t="shared" si="8"/>
        <v>25.31</v>
      </c>
      <c r="I67" s="353">
        <f t="shared" si="9"/>
        <v>404.96</v>
      </c>
      <c r="J67" s="353">
        <f t="shared" si="7"/>
        <v>411.32</v>
      </c>
    </row>
    <row r="68" spans="1:10" ht="20.100000000000001" customHeight="1">
      <c r="A68" s="327" t="s">
        <v>150</v>
      </c>
      <c r="B68" s="329" t="s">
        <v>31</v>
      </c>
      <c r="C68" s="329">
        <v>3333</v>
      </c>
      <c r="D68" s="271" t="s">
        <v>151</v>
      </c>
      <c r="E68" s="27" t="s">
        <v>147</v>
      </c>
      <c r="F68" s="331">
        <f>'MC - Livramento'!E53</f>
        <v>16</v>
      </c>
      <c r="G68" s="273">
        <v>34</v>
      </c>
      <c r="H68" s="273">
        <f t="shared" si="8"/>
        <v>41.27</v>
      </c>
      <c r="I68" s="353">
        <f t="shared" si="9"/>
        <v>660.32</v>
      </c>
      <c r="J68" s="353">
        <f t="shared" si="7"/>
        <v>670.69</v>
      </c>
    </row>
    <row r="69" spans="1:10" ht="38.25">
      <c r="A69" s="327" t="s">
        <v>152</v>
      </c>
      <c r="B69" s="329" t="s">
        <v>27</v>
      </c>
      <c r="C69" s="329">
        <v>101875</v>
      </c>
      <c r="D69" s="271" t="s">
        <v>153</v>
      </c>
      <c r="E69" s="27" t="s">
        <v>147</v>
      </c>
      <c r="F69" s="331">
        <f>'MC - Livramento'!E54</f>
        <v>1</v>
      </c>
      <c r="G69" s="273">
        <v>511.99</v>
      </c>
      <c r="H69" s="273">
        <f t="shared" si="8"/>
        <v>621.44000000000005</v>
      </c>
      <c r="I69" s="353">
        <f t="shared" si="9"/>
        <v>621.44000000000005</v>
      </c>
      <c r="J69" s="353">
        <f t="shared" si="7"/>
        <v>631.20000000000005</v>
      </c>
    </row>
    <row r="70" spans="1:10" ht="26.25" customHeight="1">
      <c r="A70" s="327" t="s">
        <v>154</v>
      </c>
      <c r="B70" s="329" t="s">
        <v>31</v>
      </c>
      <c r="C70" s="329">
        <v>338</v>
      </c>
      <c r="D70" s="271" t="s">
        <v>155</v>
      </c>
      <c r="E70" s="27" t="s">
        <v>147</v>
      </c>
      <c r="F70" s="331">
        <f>'MC - Livramento'!E55</f>
        <v>1</v>
      </c>
      <c r="G70" s="273">
        <v>455.38</v>
      </c>
      <c r="H70" s="273">
        <f t="shared" si="8"/>
        <v>552.73</v>
      </c>
      <c r="I70" s="353">
        <f t="shared" si="9"/>
        <v>552.73</v>
      </c>
      <c r="J70" s="353">
        <f t="shared" si="7"/>
        <v>561.41</v>
      </c>
    </row>
    <row r="71" spans="1:10" ht="21.95" customHeight="1">
      <c r="A71" s="415"/>
      <c r="B71" s="416"/>
      <c r="C71" s="416"/>
      <c r="D71" s="405"/>
      <c r="E71" s="407" t="s">
        <v>156</v>
      </c>
      <c r="F71" s="407"/>
      <c r="G71" s="407"/>
      <c r="H71" s="407"/>
      <c r="I71" s="354">
        <f>SUM(I54:I70)</f>
        <v>70782.460000000006</v>
      </c>
      <c r="J71" s="354">
        <f>SUM(J54:J70)</f>
        <v>71893.759999999995</v>
      </c>
    </row>
    <row r="72" spans="1:10" s="310" customFormat="1" ht="21.95" customHeight="1">
      <c r="A72" s="324">
        <v>6</v>
      </c>
      <c r="B72" s="332"/>
      <c r="D72" s="326" t="s">
        <v>157</v>
      </c>
      <c r="E72" s="417"/>
      <c r="F72" s="417"/>
      <c r="G72" s="417"/>
      <c r="H72" s="417"/>
      <c r="I72" s="417"/>
      <c r="J72" s="417"/>
    </row>
    <row r="73" spans="1:10" ht="25.5">
      <c r="A73" s="327" t="s">
        <v>158</v>
      </c>
      <c r="B73" s="329" t="s">
        <v>22</v>
      </c>
      <c r="C73" s="329" t="s">
        <v>159</v>
      </c>
      <c r="D73" s="271" t="s">
        <v>160</v>
      </c>
      <c r="E73" s="348" t="s">
        <v>114</v>
      </c>
      <c r="F73" s="349">
        <f>'MC - Livramento'!E58</f>
        <v>12</v>
      </c>
      <c r="G73" s="350">
        <f>'CPU 02'!H77</f>
        <v>830.76940000000002</v>
      </c>
      <c r="H73" s="350">
        <f>ROUND(G73*(1+$D$7),2)</f>
        <v>1008.37</v>
      </c>
      <c r="I73" s="355">
        <f>ROUND(F73*H73,2)</f>
        <v>12100.44</v>
      </c>
      <c r="J73" s="355">
        <f>ROUND(I73*(1+$J$10),2)</f>
        <v>12290.42</v>
      </c>
    </row>
    <row r="74" spans="1:10" ht="25.5">
      <c r="A74" s="327" t="s">
        <v>161</v>
      </c>
      <c r="B74" s="329" t="s">
        <v>22</v>
      </c>
      <c r="C74" s="329" t="s">
        <v>162</v>
      </c>
      <c r="D74" s="271" t="s">
        <v>163</v>
      </c>
      <c r="E74" s="27" t="s">
        <v>114</v>
      </c>
      <c r="F74" s="331">
        <f>'MC - Livramento'!E59</f>
        <v>4</v>
      </c>
      <c r="G74" s="273">
        <f>'CPU 02'!H62</f>
        <v>558.37599999999998</v>
      </c>
      <c r="H74" s="273">
        <f>ROUND(G74*(1+$D$7),2)</f>
        <v>677.75</v>
      </c>
      <c r="I74" s="353">
        <f>ROUND(F74*H74,2)</f>
        <v>2711</v>
      </c>
      <c r="J74" s="353">
        <f>ROUND(I74*(1+$J$10),2)</f>
        <v>2753.56</v>
      </c>
    </row>
    <row r="75" spans="1:10">
      <c r="A75" s="327" t="s">
        <v>164</v>
      </c>
      <c r="B75" s="328" t="s">
        <v>31</v>
      </c>
      <c r="C75" s="329">
        <v>2395</v>
      </c>
      <c r="D75" s="271" t="s">
        <v>165</v>
      </c>
      <c r="E75" s="270" t="s">
        <v>42</v>
      </c>
      <c r="F75" s="331">
        <f>'MC - Livramento'!E60</f>
        <v>212.64</v>
      </c>
      <c r="G75" s="273">
        <v>15.73</v>
      </c>
      <c r="H75" s="273">
        <f>ROUND(G75*(1+$D$7),2)</f>
        <v>19.09</v>
      </c>
      <c r="I75" s="353">
        <f>ROUND(F75*H75,2)</f>
        <v>4059.3</v>
      </c>
      <c r="J75" s="353">
        <f>ROUND(I75*(1+$J$10),2)</f>
        <v>4123.03</v>
      </c>
    </row>
    <row r="76" spans="1:10" ht="18" customHeight="1">
      <c r="A76" s="327" t="s">
        <v>166</v>
      </c>
      <c r="B76" s="329" t="s">
        <v>31</v>
      </c>
      <c r="C76" s="329">
        <v>6191</v>
      </c>
      <c r="D76" s="333" t="s">
        <v>167</v>
      </c>
      <c r="E76" s="27" t="s">
        <v>42</v>
      </c>
      <c r="F76" s="331">
        <f>'MC - Livramento'!E61</f>
        <v>3474.46</v>
      </c>
      <c r="G76" s="273">
        <v>0.43</v>
      </c>
      <c r="H76" s="273">
        <f>ROUND(G76*(1+$D$7),2)</f>
        <v>0.52</v>
      </c>
      <c r="I76" s="353">
        <f>ROUND(F76*H76,2)</f>
        <v>1806.72</v>
      </c>
      <c r="J76" s="353">
        <f>ROUND(I76*(1+$J$10),2)</f>
        <v>1835.09</v>
      </c>
    </row>
    <row r="77" spans="1:10" ht="21.95" customHeight="1">
      <c r="A77" s="418"/>
      <c r="B77" s="419"/>
      <c r="C77" s="419"/>
      <c r="D77" s="420"/>
      <c r="E77" s="409" t="s">
        <v>168</v>
      </c>
      <c r="F77" s="409"/>
      <c r="G77" s="409"/>
      <c r="H77" s="409"/>
      <c r="I77" s="341">
        <f>SUM(I73:I76)</f>
        <v>20677.460000000003</v>
      </c>
      <c r="J77" s="341">
        <f>SUM(J73:J76)</f>
        <v>21002.1</v>
      </c>
    </row>
    <row r="78" spans="1:10">
      <c r="A78" s="334"/>
      <c r="B78" s="335"/>
      <c r="C78" s="335"/>
      <c r="D78" s="335"/>
      <c r="E78" s="336"/>
      <c r="F78" s="336"/>
      <c r="G78" s="336"/>
      <c r="H78" s="336"/>
      <c r="I78" s="358"/>
    </row>
    <row r="79" spans="1:10" ht="30.75" customHeight="1">
      <c r="A79" s="410"/>
      <c r="B79" s="411"/>
      <c r="C79" s="411"/>
      <c r="D79" s="412"/>
      <c r="E79" s="413" t="s">
        <v>169</v>
      </c>
      <c r="F79" s="413"/>
      <c r="G79" s="413"/>
      <c r="H79" s="413"/>
      <c r="I79" s="359">
        <f>SUM(I20+I24+I48+I52+I71+I77)</f>
        <v>469567.62</v>
      </c>
      <c r="J79" s="359">
        <f>SUM(J20+J24+J48+J52+J71+J77)</f>
        <v>476939.84</v>
      </c>
    </row>
    <row r="83" spans="11:11">
      <c r="K83" s="274" t="s">
        <v>170</v>
      </c>
    </row>
  </sheetData>
  <mergeCells count="37">
    <mergeCell ref="A79:D79"/>
    <mergeCell ref="E79:H79"/>
    <mergeCell ref="J1:J9"/>
    <mergeCell ref="E53:J53"/>
    <mergeCell ref="A71:D71"/>
    <mergeCell ref="E71:H71"/>
    <mergeCell ref="E72:J72"/>
    <mergeCell ref="A77:D77"/>
    <mergeCell ref="E77:H77"/>
    <mergeCell ref="A48:D48"/>
    <mergeCell ref="E48:H48"/>
    <mergeCell ref="E49:J49"/>
    <mergeCell ref="A52:D52"/>
    <mergeCell ref="E52:H52"/>
    <mergeCell ref="A39:D39"/>
    <mergeCell ref="E39:H39"/>
    <mergeCell ref="E40:J40"/>
    <mergeCell ref="A47:D47"/>
    <mergeCell ref="E47:H47"/>
    <mergeCell ref="E21:J21"/>
    <mergeCell ref="A24:D24"/>
    <mergeCell ref="E24:H24"/>
    <mergeCell ref="E25:J25"/>
    <mergeCell ref="E26:J26"/>
    <mergeCell ref="B9:D9"/>
    <mergeCell ref="A10:I10"/>
    <mergeCell ref="E12:I12"/>
    <mergeCell ref="A20:D20"/>
    <mergeCell ref="E20:H20"/>
    <mergeCell ref="A8:C8"/>
    <mergeCell ref="E8:F8"/>
    <mergeCell ref="D1:I1"/>
    <mergeCell ref="D2:I2"/>
    <mergeCell ref="D3:I3"/>
    <mergeCell ref="A5:I5"/>
    <mergeCell ref="A7:C7"/>
    <mergeCell ref="E7:F7"/>
  </mergeCells>
  <pageMargins left="0.98425196850393704" right="0.59055118110236204" top="0.78740157480314998" bottom="0.78740157480314998" header="0.511811023622047" footer="0.59055118110236204"/>
  <pageSetup paperSize="9" scale="4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G53"/>
  <sheetViews>
    <sheetView view="pageBreakPreview" topLeftCell="A4" zoomScaleNormal="100" zoomScaleSheetLayoutView="100" workbookViewId="0">
      <selection activeCell="G20" sqref="G20"/>
    </sheetView>
  </sheetViews>
  <sheetFormatPr defaultColWidth="9" defaultRowHeight="12.75"/>
  <cols>
    <col min="1" max="1" width="9" style="29"/>
    <col min="2" max="2" width="36.140625" style="29" customWidth="1"/>
    <col min="3" max="3" width="39.85546875" style="29" customWidth="1"/>
    <col min="4" max="4" width="16.7109375" style="29" hidden="1" customWidth="1"/>
    <col min="5" max="5" width="16.85546875" style="29" hidden="1" customWidth="1"/>
    <col min="6" max="6" width="13.140625" style="29" customWidth="1"/>
    <col min="7" max="7" width="16.85546875" style="29" customWidth="1"/>
    <col min="8" max="16384" width="9" style="29"/>
  </cols>
  <sheetData>
    <row r="2" spans="2:7">
      <c r="B2" s="30"/>
      <c r="C2" s="31"/>
      <c r="D2" s="31"/>
      <c r="E2" s="31"/>
      <c r="F2" s="31"/>
      <c r="G2" s="32"/>
    </row>
    <row r="3" spans="2:7">
      <c r="B3" s="33"/>
      <c r="C3" s="34"/>
      <c r="D3" s="34"/>
      <c r="E3" s="34"/>
      <c r="F3" s="34"/>
      <c r="G3" s="35"/>
    </row>
    <row r="4" spans="2:7">
      <c r="B4" s="33"/>
      <c r="C4" s="34"/>
      <c r="D4" s="34"/>
      <c r="E4" s="34"/>
      <c r="F4" s="34"/>
      <c r="G4" s="35"/>
    </row>
    <row r="5" spans="2:7">
      <c r="B5" s="33"/>
      <c r="C5" s="34"/>
      <c r="D5" s="34"/>
      <c r="E5" s="34"/>
      <c r="F5" s="34"/>
      <c r="G5" s="35"/>
    </row>
    <row r="6" spans="2:7">
      <c r="B6" s="33"/>
      <c r="C6" s="34"/>
      <c r="D6" s="34"/>
      <c r="E6" s="34"/>
      <c r="F6" s="34"/>
      <c r="G6" s="35"/>
    </row>
    <row r="7" spans="2:7">
      <c r="B7" s="36" t="s">
        <v>465</v>
      </c>
      <c r="C7" s="37"/>
      <c r="D7" s="38"/>
      <c r="E7" s="38"/>
      <c r="F7" s="38"/>
      <c r="G7" s="39"/>
    </row>
    <row r="8" spans="2:7">
      <c r="B8" s="36" t="s">
        <v>466</v>
      </c>
      <c r="C8" s="37"/>
      <c r="D8" s="38"/>
      <c r="E8" s="38"/>
      <c r="F8" s="38"/>
      <c r="G8" s="39"/>
    </row>
    <row r="9" spans="2:7">
      <c r="B9" s="36" t="s">
        <v>467</v>
      </c>
      <c r="C9" s="37"/>
      <c r="D9" s="38"/>
      <c r="E9" s="38"/>
      <c r="F9" s="38"/>
      <c r="G9" s="39"/>
    </row>
    <row r="10" spans="2:7">
      <c r="B10" s="626"/>
      <c r="C10" s="627"/>
      <c r="D10" s="627"/>
      <c r="E10" s="627"/>
      <c r="F10" s="627"/>
      <c r="G10" s="628"/>
    </row>
    <row r="11" spans="2:7">
      <c r="B11" s="629"/>
      <c r="C11" s="630"/>
      <c r="D11" s="630"/>
      <c r="E11" s="630"/>
      <c r="F11" s="630"/>
      <c r="G11" s="631"/>
    </row>
    <row r="12" spans="2:7" ht="15.75">
      <c r="B12" s="619" t="s">
        <v>541</v>
      </c>
      <c r="C12" s="620"/>
      <c r="D12" s="620"/>
      <c r="E12" s="620"/>
      <c r="F12" s="620"/>
      <c r="G12" s="621"/>
    </row>
    <row r="13" spans="2:7" ht="15.75">
      <c r="B13" s="41" t="s">
        <v>468</v>
      </c>
      <c r="C13" s="40"/>
      <c r="D13" s="622" t="s">
        <v>469</v>
      </c>
      <c r="E13" s="623"/>
      <c r="F13" s="622" t="s">
        <v>470</v>
      </c>
      <c r="G13" s="621"/>
    </row>
    <row r="14" spans="2:7" ht="15">
      <c r="B14" s="614"/>
      <c r="C14" s="615"/>
      <c r="D14" s="615"/>
      <c r="E14" s="615"/>
      <c r="F14" s="615"/>
      <c r="G14" s="616"/>
    </row>
    <row r="15" spans="2:7">
      <c r="B15" s="632"/>
      <c r="C15" s="633"/>
      <c r="D15" s="624" t="s">
        <v>471</v>
      </c>
      <c r="E15" s="624" t="s">
        <v>472</v>
      </c>
      <c r="F15" s="624" t="s">
        <v>471</v>
      </c>
      <c r="G15" s="625" t="s">
        <v>472</v>
      </c>
    </row>
    <row r="16" spans="2:7">
      <c r="B16" s="632"/>
      <c r="C16" s="633"/>
      <c r="D16" s="624"/>
      <c r="E16" s="624"/>
      <c r="F16" s="624"/>
      <c r="G16" s="625"/>
    </row>
    <row r="17" spans="2:7" ht="15.75">
      <c r="B17" s="619" t="s">
        <v>473</v>
      </c>
      <c r="C17" s="620"/>
      <c r="D17" s="620"/>
      <c r="E17" s="620"/>
      <c r="F17" s="620"/>
      <c r="G17" s="621"/>
    </row>
    <row r="18" spans="2:7" ht="15">
      <c r="B18" s="43" t="s">
        <v>434</v>
      </c>
      <c r="C18" s="44" t="s">
        <v>474</v>
      </c>
      <c r="D18" s="45">
        <v>0</v>
      </c>
      <c r="E18" s="45">
        <v>0</v>
      </c>
      <c r="F18" s="45">
        <v>20</v>
      </c>
      <c r="G18" s="46">
        <v>20</v>
      </c>
    </row>
    <row r="19" spans="2:7" ht="15">
      <c r="B19" s="47" t="s">
        <v>436</v>
      </c>
      <c r="C19" s="48" t="s">
        <v>475</v>
      </c>
      <c r="D19" s="49">
        <v>1.5</v>
      </c>
      <c r="E19" s="49">
        <v>1.5</v>
      </c>
      <c r="F19" s="49">
        <v>1.5</v>
      </c>
      <c r="G19" s="50">
        <v>1.5</v>
      </c>
    </row>
    <row r="20" spans="2:7" ht="15">
      <c r="B20" s="47" t="s">
        <v>438</v>
      </c>
      <c r="C20" s="48" t="s">
        <v>476</v>
      </c>
      <c r="D20" s="49">
        <v>1</v>
      </c>
      <c r="E20" s="49">
        <v>1</v>
      </c>
      <c r="F20" s="49">
        <v>1</v>
      </c>
      <c r="G20" s="50">
        <v>1</v>
      </c>
    </row>
    <row r="21" spans="2:7" ht="15">
      <c r="B21" s="47" t="s">
        <v>440</v>
      </c>
      <c r="C21" s="48" t="s">
        <v>477</v>
      </c>
      <c r="D21" s="49">
        <v>0.2</v>
      </c>
      <c r="E21" s="49">
        <v>0.2</v>
      </c>
      <c r="F21" s="49">
        <v>0.2</v>
      </c>
      <c r="G21" s="50">
        <v>0.2</v>
      </c>
    </row>
    <row r="22" spans="2:7" ht="15">
      <c r="B22" s="47" t="s">
        <v>478</v>
      </c>
      <c r="C22" s="48" t="s">
        <v>479</v>
      </c>
      <c r="D22" s="49">
        <v>0.6</v>
      </c>
      <c r="E22" s="49">
        <v>0.6</v>
      </c>
      <c r="F22" s="49">
        <v>0.6</v>
      </c>
      <c r="G22" s="50">
        <v>0.6</v>
      </c>
    </row>
    <row r="23" spans="2:7" ht="15">
      <c r="B23" s="47" t="s">
        <v>480</v>
      </c>
      <c r="C23" s="48" t="s">
        <v>481</v>
      </c>
      <c r="D23" s="49">
        <v>2.5</v>
      </c>
      <c r="E23" s="49">
        <v>2.5</v>
      </c>
      <c r="F23" s="49">
        <v>2.5</v>
      </c>
      <c r="G23" s="50">
        <v>2.5</v>
      </c>
    </row>
    <row r="24" spans="2:7" ht="15">
      <c r="B24" s="47" t="s">
        <v>482</v>
      </c>
      <c r="C24" s="48" t="s">
        <v>483</v>
      </c>
      <c r="D24" s="49">
        <v>3</v>
      </c>
      <c r="E24" s="49">
        <v>3</v>
      </c>
      <c r="F24" s="49">
        <v>3</v>
      </c>
      <c r="G24" s="50">
        <v>3</v>
      </c>
    </row>
    <row r="25" spans="2:7" ht="15">
      <c r="B25" s="47" t="s">
        <v>484</v>
      </c>
      <c r="C25" s="48" t="s">
        <v>485</v>
      </c>
      <c r="D25" s="49">
        <v>8</v>
      </c>
      <c r="E25" s="49">
        <v>8</v>
      </c>
      <c r="F25" s="49">
        <v>8</v>
      </c>
      <c r="G25" s="50">
        <v>8</v>
      </c>
    </row>
    <row r="26" spans="2:7" ht="15">
      <c r="B26" s="51" t="s">
        <v>486</v>
      </c>
      <c r="C26" s="52" t="s">
        <v>487</v>
      </c>
      <c r="D26" s="53">
        <v>0</v>
      </c>
      <c r="E26" s="53">
        <v>0</v>
      </c>
      <c r="F26" s="53">
        <v>0</v>
      </c>
      <c r="G26" s="54">
        <v>0</v>
      </c>
    </row>
    <row r="27" spans="2:7" ht="15.75">
      <c r="B27" s="42" t="s">
        <v>488</v>
      </c>
      <c r="C27" s="55" t="s">
        <v>275</v>
      </c>
      <c r="D27" s="56">
        <f>SUM(D18:D26)</f>
        <v>16.8</v>
      </c>
      <c r="E27" s="56">
        <f>SUM(E18:E26)</f>
        <v>16.8</v>
      </c>
      <c r="F27" s="56">
        <f>SUM(F18:F26)</f>
        <v>36.799999999999997</v>
      </c>
      <c r="G27" s="57">
        <f>SUM(G18:G26)</f>
        <v>36.799999999999997</v>
      </c>
    </row>
    <row r="28" spans="2:7" ht="15.75">
      <c r="B28" s="619" t="s">
        <v>489</v>
      </c>
      <c r="C28" s="620"/>
      <c r="D28" s="620"/>
      <c r="E28" s="620"/>
      <c r="F28" s="620"/>
      <c r="G28" s="621"/>
    </row>
    <row r="29" spans="2:7" ht="15">
      <c r="B29" s="43" t="s">
        <v>490</v>
      </c>
      <c r="C29" s="44" t="s">
        <v>491</v>
      </c>
      <c r="D29" s="45">
        <v>17.97</v>
      </c>
      <c r="E29" s="45" t="s">
        <v>492</v>
      </c>
      <c r="F29" s="45">
        <v>17.97</v>
      </c>
      <c r="G29" s="46" t="s">
        <v>492</v>
      </c>
    </row>
    <row r="30" spans="2:7" ht="15">
      <c r="B30" s="47" t="s">
        <v>493</v>
      </c>
      <c r="C30" s="48" t="s">
        <v>494</v>
      </c>
      <c r="D30" s="49">
        <v>3.96</v>
      </c>
      <c r="E30" s="49" t="s">
        <v>492</v>
      </c>
      <c r="F30" s="49">
        <v>3.96</v>
      </c>
      <c r="G30" s="50" t="s">
        <v>492</v>
      </c>
    </row>
    <row r="31" spans="2:7" ht="15">
      <c r="B31" s="47" t="s">
        <v>495</v>
      </c>
      <c r="C31" s="48" t="s">
        <v>496</v>
      </c>
      <c r="D31" s="49">
        <v>0.86</v>
      </c>
      <c r="E31" s="49">
        <v>0.66</v>
      </c>
      <c r="F31" s="49">
        <v>0.86</v>
      </c>
      <c r="G31" s="50">
        <v>0.66</v>
      </c>
    </row>
    <row r="32" spans="2:7" ht="15">
      <c r="B32" s="47" t="s">
        <v>497</v>
      </c>
      <c r="C32" s="48" t="s">
        <v>498</v>
      </c>
      <c r="D32" s="49">
        <v>10.97</v>
      </c>
      <c r="E32" s="49">
        <v>8.33</v>
      </c>
      <c r="F32" s="49">
        <v>10.97</v>
      </c>
      <c r="G32" s="50">
        <v>8.33</v>
      </c>
    </row>
    <row r="33" spans="2:7" ht="15">
      <c r="B33" s="47" t="s">
        <v>499</v>
      </c>
      <c r="C33" s="48" t="s">
        <v>500</v>
      </c>
      <c r="D33" s="49">
        <v>7.0000000000000007E-2</v>
      </c>
      <c r="E33" s="49">
        <v>0.06</v>
      </c>
      <c r="F33" s="49">
        <v>7.0000000000000007E-2</v>
      </c>
      <c r="G33" s="50">
        <v>0.06</v>
      </c>
    </row>
    <row r="34" spans="2:7" ht="15">
      <c r="B34" s="47" t="s">
        <v>501</v>
      </c>
      <c r="C34" s="48" t="s">
        <v>502</v>
      </c>
      <c r="D34" s="49">
        <v>0.73</v>
      </c>
      <c r="E34" s="49">
        <v>0.56000000000000005</v>
      </c>
      <c r="F34" s="49">
        <v>0.73</v>
      </c>
      <c r="G34" s="50">
        <v>0.56000000000000005</v>
      </c>
    </row>
    <row r="35" spans="2:7" ht="15">
      <c r="B35" s="47" t="s">
        <v>503</v>
      </c>
      <c r="C35" s="48" t="s">
        <v>504</v>
      </c>
      <c r="D35" s="49">
        <v>2.04</v>
      </c>
      <c r="E35" s="49" t="s">
        <v>492</v>
      </c>
      <c r="F35" s="49">
        <v>2.04</v>
      </c>
      <c r="G35" s="50" t="s">
        <v>492</v>
      </c>
    </row>
    <row r="36" spans="2:7" ht="15">
      <c r="B36" s="47" t="s">
        <v>505</v>
      </c>
      <c r="C36" s="48" t="s">
        <v>506</v>
      </c>
      <c r="D36" s="49">
        <v>0.1</v>
      </c>
      <c r="E36" s="49">
        <v>0.08</v>
      </c>
      <c r="F36" s="49">
        <v>0.1</v>
      </c>
      <c r="G36" s="50">
        <v>0.08</v>
      </c>
    </row>
    <row r="37" spans="2:7" ht="15">
      <c r="B37" s="47" t="s">
        <v>507</v>
      </c>
      <c r="C37" s="48" t="s">
        <v>508</v>
      </c>
      <c r="D37" s="49">
        <v>10.34</v>
      </c>
      <c r="E37" s="49">
        <v>7.85</v>
      </c>
      <c r="F37" s="49">
        <v>10.34</v>
      </c>
      <c r="G37" s="50">
        <v>7.85</v>
      </c>
    </row>
    <row r="38" spans="2:7" ht="15">
      <c r="B38" s="51" t="s">
        <v>509</v>
      </c>
      <c r="C38" s="52" t="s">
        <v>510</v>
      </c>
      <c r="D38" s="53">
        <v>0.03</v>
      </c>
      <c r="E38" s="53">
        <v>0.02</v>
      </c>
      <c r="F38" s="53">
        <v>0.03</v>
      </c>
      <c r="G38" s="54">
        <v>0.02</v>
      </c>
    </row>
    <row r="39" spans="2:7" ht="15.75">
      <c r="B39" s="42" t="s">
        <v>511</v>
      </c>
      <c r="C39" s="55" t="s">
        <v>512</v>
      </c>
      <c r="D39" s="56">
        <f>SUM(D29:D38)</f>
        <v>47.069999999999993</v>
      </c>
      <c r="E39" s="56">
        <f>SUM(E29:E38)</f>
        <v>17.559999999999999</v>
      </c>
      <c r="F39" s="56">
        <f>SUM(F29:F38)</f>
        <v>47.069999999999993</v>
      </c>
      <c r="G39" s="57">
        <f>SUM(G29:G38)</f>
        <v>17.559999999999999</v>
      </c>
    </row>
    <row r="40" spans="2:7" ht="15.75">
      <c r="B40" s="619" t="s">
        <v>513</v>
      </c>
      <c r="C40" s="620"/>
      <c r="D40" s="620"/>
      <c r="E40" s="620"/>
      <c r="F40" s="620"/>
      <c r="G40" s="621"/>
    </row>
    <row r="41" spans="2:7" ht="15">
      <c r="B41" s="43" t="s">
        <v>514</v>
      </c>
      <c r="C41" s="44" t="s">
        <v>515</v>
      </c>
      <c r="D41" s="45">
        <v>5.44</v>
      </c>
      <c r="E41" s="45">
        <v>4.13</v>
      </c>
      <c r="F41" s="45">
        <v>5.44</v>
      </c>
      <c r="G41" s="46">
        <v>4.13</v>
      </c>
    </row>
    <row r="42" spans="2:7" ht="15">
      <c r="B42" s="47" t="s">
        <v>516</v>
      </c>
      <c r="C42" s="48" t="s">
        <v>517</v>
      </c>
      <c r="D42" s="49">
        <v>0.13</v>
      </c>
      <c r="E42" s="49">
        <v>0.1</v>
      </c>
      <c r="F42" s="49">
        <v>0.13</v>
      </c>
      <c r="G42" s="50">
        <v>0.1</v>
      </c>
    </row>
    <row r="43" spans="2:7" ht="15">
      <c r="B43" s="47" t="s">
        <v>518</v>
      </c>
      <c r="C43" s="48" t="s">
        <v>519</v>
      </c>
      <c r="D43" s="49">
        <v>3.41</v>
      </c>
      <c r="E43" s="49">
        <v>2.59</v>
      </c>
      <c r="F43" s="49">
        <v>3.41</v>
      </c>
      <c r="G43" s="50">
        <v>2.59</v>
      </c>
    </row>
    <row r="44" spans="2:7" ht="15">
      <c r="B44" s="47" t="s">
        <v>520</v>
      </c>
      <c r="C44" s="48" t="s">
        <v>521</v>
      </c>
      <c r="D44" s="49">
        <v>3.36</v>
      </c>
      <c r="E44" s="49">
        <v>2.5499999999999998</v>
      </c>
      <c r="F44" s="49">
        <v>3.36</v>
      </c>
      <c r="G44" s="50">
        <v>2.5499999999999998</v>
      </c>
    </row>
    <row r="45" spans="2:7" ht="15">
      <c r="B45" s="51" t="s">
        <v>522</v>
      </c>
      <c r="C45" s="52" t="s">
        <v>523</v>
      </c>
      <c r="D45" s="53">
        <v>0.46</v>
      </c>
      <c r="E45" s="53">
        <v>0.35</v>
      </c>
      <c r="F45" s="53">
        <v>0.46</v>
      </c>
      <c r="G45" s="54">
        <v>0.35</v>
      </c>
    </row>
    <row r="46" spans="2:7" ht="15.75">
      <c r="B46" s="42" t="s">
        <v>524</v>
      </c>
      <c r="C46" s="55" t="s">
        <v>512</v>
      </c>
      <c r="D46" s="56">
        <f>SUM(D41:D45)</f>
        <v>12.8</v>
      </c>
      <c r="E46" s="56">
        <f>SUM(E41:E45)</f>
        <v>9.7199999999999989</v>
      </c>
      <c r="F46" s="56">
        <f>SUM(F41:F45)</f>
        <v>12.8</v>
      </c>
      <c r="G46" s="57">
        <f>SUM(G41:G45)</f>
        <v>9.7199999999999989</v>
      </c>
    </row>
    <row r="47" spans="2:7" ht="15.75">
      <c r="B47" s="619" t="s">
        <v>525</v>
      </c>
      <c r="C47" s="620"/>
      <c r="D47" s="620"/>
      <c r="E47" s="620"/>
      <c r="F47" s="620"/>
      <c r="G47" s="621"/>
    </row>
    <row r="48" spans="2:7" ht="15">
      <c r="B48" s="43" t="s">
        <v>526</v>
      </c>
      <c r="C48" s="44" t="s">
        <v>527</v>
      </c>
      <c r="D48" s="45">
        <v>7.91</v>
      </c>
      <c r="E48" s="45">
        <v>2.95</v>
      </c>
      <c r="F48" s="45">
        <v>17.32</v>
      </c>
      <c r="G48" s="46">
        <v>6.46</v>
      </c>
    </row>
    <row r="49" spans="2:7" ht="76.5" customHeight="1">
      <c r="B49" s="58" t="s">
        <v>528</v>
      </c>
      <c r="C49" s="59" t="s">
        <v>529</v>
      </c>
      <c r="D49" s="53">
        <v>0.46</v>
      </c>
      <c r="E49" s="53">
        <v>0.35</v>
      </c>
      <c r="F49" s="53">
        <v>0.48</v>
      </c>
      <c r="G49" s="54">
        <v>0.37</v>
      </c>
    </row>
    <row r="50" spans="2:7" ht="15.75">
      <c r="B50" s="42" t="s">
        <v>530</v>
      </c>
      <c r="C50" s="55" t="s">
        <v>275</v>
      </c>
      <c r="D50" s="56">
        <f>SUM(D48:D49)</f>
        <v>8.370000000000001</v>
      </c>
      <c r="E50" s="56">
        <f>SUM(E48:E49)</f>
        <v>3.3000000000000003</v>
      </c>
      <c r="F50" s="56">
        <f>SUM(F48:F49)</f>
        <v>17.8</v>
      </c>
      <c r="G50" s="57">
        <f>SUM(G48:G49)</f>
        <v>6.83</v>
      </c>
    </row>
    <row r="51" spans="2:7" ht="15">
      <c r="B51" s="614"/>
      <c r="C51" s="615"/>
      <c r="D51" s="615"/>
      <c r="E51" s="615"/>
      <c r="F51" s="615"/>
      <c r="G51" s="616"/>
    </row>
    <row r="52" spans="2:7" ht="15.75">
      <c r="B52" s="617" t="s">
        <v>531</v>
      </c>
      <c r="C52" s="618"/>
      <c r="D52" s="60">
        <f>D27+D39+D46+D50</f>
        <v>85.039999999999992</v>
      </c>
      <c r="E52" s="60">
        <f>E27+E39+E46+E50</f>
        <v>47.379999999999995</v>
      </c>
      <c r="F52" s="61">
        <f>(F27+F39+F46+F50)/100</f>
        <v>1.1446999999999998</v>
      </c>
      <c r="G52" s="62">
        <f>(G27+G39+G46+G50)/100</f>
        <v>0.70909999999999995</v>
      </c>
    </row>
    <row r="53" spans="2:7" ht="15">
      <c r="B53" s="63"/>
      <c r="C53" s="63"/>
      <c r="D53" s="63"/>
      <c r="E53" s="63"/>
      <c r="F53" s="63"/>
      <c r="G53" s="63"/>
    </row>
  </sheetData>
  <mergeCells count="16">
    <mergeCell ref="B10:G11"/>
    <mergeCell ref="B15:C16"/>
    <mergeCell ref="B28:G28"/>
    <mergeCell ref="B40:G40"/>
    <mergeCell ref="B47:G47"/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</mergeCells>
  <pageMargins left="0.75" right="0.75" top="1" bottom="1" header="0.5" footer="0.5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33"/>
  <sheetViews>
    <sheetView showGridLines="0" view="pageBreakPreview" zoomScaleNormal="100" zoomScaleSheetLayoutView="100" workbookViewId="0">
      <selection activeCell="E12" sqref="E12"/>
    </sheetView>
  </sheetViews>
  <sheetFormatPr defaultColWidth="9" defaultRowHeight="12.75"/>
  <cols>
    <col min="2" max="2" width="52.42578125" customWidth="1"/>
    <col min="3" max="3" width="22.28515625" customWidth="1"/>
    <col min="4" max="6" width="18.7109375" customWidth="1"/>
    <col min="7" max="7" width="11.28515625" customWidth="1"/>
  </cols>
  <sheetData>
    <row r="1" spans="1:7" s="229" customFormat="1" ht="15.75" customHeight="1">
      <c r="A1" s="265"/>
      <c r="B1" s="425" t="s">
        <v>0</v>
      </c>
      <c r="C1" s="425"/>
      <c r="D1" s="425"/>
      <c r="E1" s="425"/>
      <c r="F1" s="425"/>
    </row>
    <row r="2" spans="1:7" s="229" customFormat="1" ht="15.75" customHeight="1">
      <c r="A2" s="283"/>
      <c r="B2" s="426" t="s">
        <v>174</v>
      </c>
      <c r="C2" s="426"/>
      <c r="D2" s="426"/>
      <c r="E2" s="426"/>
      <c r="F2" s="426"/>
    </row>
    <row r="3" spans="1:7" s="229" customFormat="1" ht="15.75" customHeight="1">
      <c r="A3" s="283"/>
      <c r="B3" s="425" t="s">
        <v>175</v>
      </c>
      <c r="C3" s="425"/>
      <c r="D3" s="425"/>
      <c r="E3" s="425"/>
      <c r="F3" s="425"/>
    </row>
    <row r="4" spans="1:7">
      <c r="A4" s="3"/>
      <c r="B4" s="4"/>
      <c r="C4" s="191"/>
      <c r="D4" s="191"/>
      <c r="E4" s="4"/>
      <c r="F4" s="4"/>
    </row>
    <row r="5" spans="1:7" s="230" customFormat="1" ht="39.75" customHeight="1">
      <c r="A5" s="427" t="str">
        <f>'Planilha - LIVRAMENTO'!A5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428"/>
      <c r="C5" s="428"/>
      <c r="D5" s="428"/>
      <c r="E5" s="428"/>
      <c r="F5" s="428"/>
    </row>
    <row r="6" spans="1:7" ht="15">
      <c r="A6" s="284"/>
      <c r="B6" s="285"/>
      <c r="C6" s="286"/>
      <c r="D6" s="286"/>
      <c r="E6" s="287"/>
      <c r="F6" s="4"/>
    </row>
    <row r="7" spans="1:7" ht="20.25">
      <c r="A7" s="429" t="s">
        <v>533</v>
      </c>
      <c r="B7" s="430"/>
      <c r="C7" s="430"/>
      <c r="D7" s="430"/>
      <c r="E7" s="430"/>
      <c r="F7" s="430"/>
    </row>
    <row r="8" spans="1:7">
      <c r="A8" s="157"/>
      <c r="B8" s="158"/>
      <c r="C8" s="156"/>
      <c r="D8" s="156"/>
      <c r="E8" s="158"/>
      <c r="F8" s="158"/>
    </row>
    <row r="9" spans="1:7" ht="12.75" customHeight="1">
      <c r="A9" s="424" t="s">
        <v>176</v>
      </c>
      <c r="B9" s="424" t="s">
        <v>177</v>
      </c>
      <c r="C9" s="424" t="s">
        <v>178</v>
      </c>
      <c r="D9" s="424" t="s">
        <v>179</v>
      </c>
      <c r="E9" s="424" t="s">
        <v>180</v>
      </c>
      <c r="F9" s="424" t="s">
        <v>181</v>
      </c>
    </row>
    <row r="10" spans="1:7" ht="12.75" customHeight="1">
      <c r="A10" s="424"/>
      <c r="B10" s="424"/>
      <c r="C10" s="424"/>
      <c r="D10" s="424"/>
      <c r="E10" s="424"/>
      <c r="F10" s="424"/>
    </row>
    <row r="11" spans="1:7" ht="15.75">
      <c r="A11" s="288">
        <f>'Planilha - LIVRAMENTO'!A12</f>
        <v>1</v>
      </c>
      <c r="B11" s="288" t="str">
        <f>'Planilha - LIVRAMENTO'!D12</f>
        <v>SERVIÇOS PRELIMINARES</v>
      </c>
      <c r="C11" s="289">
        <f>'Planilha - LIVRAMENTO'!I20</f>
        <v>58855.729999999996</v>
      </c>
      <c r="D11" s="290">
        <f>C11*0.45</f>
        <v>26485.0785</v>
      </c>
      <c r="E11" s="290">
        <f>C11*0.16</f>
        <v>9416.9167999999991</v>
      </c>
      <c r="F11" s="290">
        <f>C11*0.39</f>
        <v>22953.734700000001</v>
      </c>
      <c r="G11" s="291">
        <f>D11+E11+F11</f>
        <v>58855.729999999996</v>
      </c>
    </row>
    <row r="12" spans="1:7" ht="15.75">
      <c r="A12" s="288"/>
      <c r="B12" s="292"/>
      <c r="C12" s="293"/>
      <c r="D12" s="294">
        <f>D11/C11</f>
        <v>0.45</v>
      </c>
      <c r="E12" s="294">
        <f>E11/C11</f>
        <v>0.16</v>
      </c>
      <c r="F12" s="294">
        <f>F11/C11</f>
        <v>0.39000000000000007</v>
      </c>
    </row>
    <row r="13" spans="1:7" ht="15.75">
      <c r="A13" s="288">
        <f>'Planilha - LIVRAMENTO'!A21</f>
        <v>2</v>
      </c>
      <c r="B13" s="288" t="str">
        <f>'Planilha - LIVRAMENTO'!D21</f>
        <v>TERRAPLENAGEM (CBUQ + INTERTRAVADO)</v>
      </c>
      <c r="C13" s="289">
        <f>'Planilha - LIVRAMENTO'!I24</f>
        <v>11396.22</v>
      </c>
      <c r="D13" s="290">
        <f>C13*1</f>
        <v>11396.22</v>
      </c>
      <c r="E13" s="306"/>
      <c r="F13" s="307"/>
      <c r="G13" s="291">
        <f>D13+E13+F13</f>
        <v>11396.22</v>
      </c>
    </row>
    <row r="14" spans="1:7" ht="15.75">
      <c r="A14" s="288"/>
      <c r="B14" s="292"/>
      <c r="C14" s="289"/>
      <c r="D14" s="294">
        <f>D13/C13</f>
        <v>1</v>
      </c>
      <c r="E14" s="294">
        <f>E13/C13</f>
        <v>0</v>
      </c>
      <c r="F14" s="294">
        <f>F13/C13</f>
        <v>0</v>
      </c>
    </row>
    <row r="15" spans="1:7" ht="15.75">
      <c r="A15" s="288">
        <f>'Planilha - LIVRAMENTO'!A25</f>
        <v>3</v>
      </c>
      <c r="B15" s="288" t="str">
        <f>'Planilha - LIVRAMENTO'!D25</f>
        <v xml:space="preserve"> PAVIMENTAÇÃO E GUIAS</v>
      </c>
      <c r="C15" s="289">
        <f>'Planilha - LIVRAMENTO'!I48</f>
        <v>285473.64999999997</v>
      </c>
      <c r="D15" s="290">
        <f>D17+D19</f>
        <v>79686.652000000002</v>
      </c>
      <c r="E15" s="290">
        <f>E17+E19</f>
        <v>125690.39600000001</v>
      </c>
      <c r="F15" s="290">
        <f>F17+F19</f>
        <v>80096.602000000014</v>
      </c>
      <c r="G15" s="291">
        <f>D15+E15+F15</f>
        <v>285473.65000000002</v>
      </c>
    </row>
    <row r="16" spans="1:7" ht="15.75">
      <c r="A16" s="288"/>
      <c r="B16" s="292"/>
      <c r="C16" s="308"/>
      <c r="D16" s="294">
        <f>D15/C15</f>
        <v>0.27913837932152413</v>
      </c>
      <c r="E16" s="294">
        <f>E15/C15</f>
        <v>0.44028720689282541</v>
      </c>
      <c r="F16" s="309">
        <f>F15/C15</f>
        <v>0.28057441378565068</v>
      </c>
    </row>
    <row r="17" spans="1:7" ht="15.75">
      <c r="A17" s="288" t="str">
        <f>'Planilha - LIVRAMENTO'!A26</f>
        <v>3.1</v>
      </c>
      <c r="B17" s="292" t="str">
        <f>'Planilha - LIVRAMENTO'!B26</f>
        <v xml:space="preserve">CBUQ </v>
      </c>
      <c r="C17" s="289">
        <f>'Planilha - LIVRAMENTO'!I39</f>
        <v>170464.28999999998</v>
      </c>
      <c r="D17" s="290">
        <f>C17*0.4</f>
        <v>68185.716</v>
      </c>
      <c r="E17" s="290">
        <f>C17*0.4</f>
        <v>68185.716</v>
      </c>
      <c r="F17" s="295">
        <f>C17*0.2</f>
        <v>34092.858</v>
      </c>
      <c r="G17" s="291">
        <f>D17+E17+F17</f>
        <v>170464.29</v>
      </c>
    </row>
    <row r="18" spans="1:7" ht="15.75">
      <c r="A18" s="296"/>
      <c r="B18" s="296"/>
      <c r="C18" s="308"/>
      <c r="D18" s="294">
        <f>D17/C17</f>
        <v>0.40000000000000008</v>
      </c>
      <c r="E18" s="294">
        <f>E17/C17</f>
        <v>0.40000000000000008</v>
      </c>
      <c r="F18" s="309">
        <f>F17/C17</f>
        <v>0.20000000000000004</v>
      </c>
    </row>
    <row r="19" spans="1:7" ht="15.75">
      <c r="A19" s="288" t="str">
        <f>'Planilha - LIVRAMENTO'!A40</f>
        <v>3.2</v>
      </c>
      <c r="B19" s="292" t="str">
        <f>'Planilha - LIVRAMENTO'!B40</f>
        <v>Intertravado</v>
      </c>
      <c r="C19" s="289">
        <f>'Planilha - LIVRAMENTO'!I47</f>
        <v>115009.36</v>
      </c>
      <c r="D19" s="290">
        <f>C19*0.1</f>
        <v>11500.936000000002</v>
      </c>
      <c r="E19" s="290">
        <f>C19*0.5</f>
        <v>57504.68</v>
      </c>
      <c r="F19" s="295">
        <f>C19*0.4</f>
        <v>46003.744000000006</v>
      </c>
      <c r="G19" s="291">
        <f>D19+E19+F19</f>
        <v>115009.36000000002</v>
      </c>
    </row>
    <row r="20" spans="1:7" ht="15.75">
      <c r="A20" s="296"/>
      <c r="B20" s="296"/>
      <c r="C20" s="297"/>
      <c r="D20" s="294">
        <f>D19/C19</f>
        <v>0.10000000000000002</v>
      </c>
      <c r="E20" s="294">
        <f>E19/C19</f>
        <v>0.5</v>
      </c>
      <c r="F20" s="309">
        <f>F19/C19</f>
        <v>0.40000000000000008</v>
      </c>
    </row>
    <row r="21" spans="1:7" ht="15.75">
      <c r="A21" s="288">
        <f>'Planilha - LIVRAMENTO'!A49</f>
        <v>4</v>
      </c>
      <c r="B21" s="288" t="str">
        <f>'Planilha - LIVRAMENTO'!D49</f>
        <v>INSTALAÇAÕ DE PARQUE INFANTIL</v>
      </c>
      <c r="C21" s="289">
        <f>'Planilha - LIVRAMENTO'!I52</f>
        <v>22382.1</v>
      </c>
      <c r="D21" s="290">
        <f>C21*0</f>
        <v>0</v>
      </c>
      <c r="E21" s="290">
        <f>C21*0.1</f>
        <v>2238.21</v>
      </c>
      <c r="F21" s="295">
        <f>C21*0.9</f>
        <v>20143.89</v>
      </c>
      <c r="G21" s="291">
        <f>D21+E21+F21</f>
        <v>22382.1</v>
      </c>
    </row>
    <row r="22" spans="1:7" ht="15.75">
      <c r="A22" s="296"/>
      <c r="B22" s="296"/>
      <c r="C22" s="297"/>
      <c r="D22" s="294">
        <f>D21/C21</f>
        <v>0</v>
      </c>
      <c r="E22" s="294">
        <f>E21/C21</f>
        <v>0.1</v>
      </c>
      <c r="F22" s="309">
        <f>F21/C21</f>
        <v>0.9</v>
      </c>
    </row>
    <row r="23" spans="1:7" ht="15.75">
      <c r="A23" s="288">
        <f>'Planilha - LIVRAMENTO'!A53</f>
        <v>5</v>
      </c>
      <c r="B23" s="288" t="str">
        <f>'Planilha - LIVRAMENTO'!D53</f>
        <v>INSTALAÇÕES ELÉTRICAS</v>
      </c>
      <c r="C23" s="289">
        <f>'Planilha - LIVRAMENTO'!I71</f>
        <v>70782.460000000006</v>
      </c>
      <c r="D23" s="290">
        <f>C23*0.15</f>
        <v>10617.369000000001</v>
      </c>
      <c r="E23" s="290">
        <f>C23*0.15</f>
        <v>10617.369000000001</v>
      </c>
      <c r="F23" s="290">
        <f>C23*0.7</f>
        <v>49547.722000000002</v>
      </c>
      <c r="G23" s="291">
        <f>D23+E23+F23</f>
        <v>70782.460000000006</v>
      </c>
    </row>
    <row r="24" spans="1:7" ht="15.75">
      <c r="A24" s="296"/>
      <c r="B24" s="296"/>
      <c r="C24" s="297"/>
      <c r="D24" s="294">
        <f>D23/C23</f>
        <v>0.15</v>
      </c>
      <c r="E24" s="294">
        <f>E23/C23</f>
        <v>0.15</v>
      </c>
      <c r="F24" s="294">
        <f>F23/C23</f>
        <v>0.7</v>
      </c>
    </row>
    <row r="25" spans="1:7" ht="15.75">
      <c r="A25" s="288">
        <f>'Planilha - LIVRAMENTO'!A72</f>
        <v>6</v>
      </c>
      <c r="B25" s="288" t="str">
        <f>'Planilha - LIVRAMENTO'!D72</f>
        <v>DIVERSOS</v>
      </c>
      <c r="C25" s="289">
        <f>'Planilha - LIVRAMENTO'!I77</f>
        <v>20677.460000000003</v>
      </c>
      <c r="D25" s="290">
        <f>C25*0</f>
        <v>0</v>
      </c>
      <c r="E25" s="290">
        <f>C25*0.3</f>
        <v>6203.2380000000003</v>
      </c>
      <c r="F25" s="290">
        <f>C25*0.7</f>
        <v>14474.222000000002</v>
      </c>
      <c r="G25" s="291">
        <f>D25+E25+F25</f>
        <v>20677.460000000003</v>
      </c>
    </row>
    <row r="26" spans="1:7" ht="15.75">
      <c r="A26" s="296"/>
      <c r="B26" s="296"/>
      <c r="C26" s="297"/>
      <c r="D26" s="294">
        <f>D25/C25</f>
        <v>0</v>
      </c>
      <c r="E26" s="294">
        <f>E25/C25</f>
        <v>0.3</v>
      </c>
      <c r="F26" s="294">
        <f>F25/C25</f>
        <v>0.7</v>
      </c>
    </row>
    <row r="27" spans="1:7" ht="15.75">
      <c r="A27" s="298"/>
      <c r="B27" s="299" t="s">
        <v>182</v>
      </c>
      <c r="C27" s="300">
        <f>C11+C13+C15+C21+C23+C25</f>
        <v>469567.62</v>
      </c>
      <c r="D27" s="300">
        <f>D11+D13+D15+D21+D23+D25</f>
        <v>128185.31950000001</v>
      </c>
      <c r="E27" s="300">
        <f>E11+E13+E15+E21+E23+E25</f>
        <v>154166.12980000002</v>
      </c>
      <c r="F27" s="300">
        <f>F11+F13+F15+F21+F23+F25</f>
        <v>187216.17070000002</v>
      </c>
      <c r="G27" s="291">
        <f>D27+E27+F27</f>
        <v>469567.62000000005</v>
      </c>
    </row>
    <row r="28" spans="1:7" ht="15.75">
      <c r="A28" s="298"/>
      <c r="B28" s="299"/>
      <c r="C28" s="421"/>
      <c r="D28" s="301"/>
      <c r="E28" s="301"/>
      <c r="F28" s="301"/>
    </row>
    <row r="29" spans="1:7" ht="15.75">
      <c r="A29" s="302"/>
      <c r="B29" s="303" t="s">
        <v>183</v>
      </c>
      <c r="C29" s="422"/>
      <c r="D29" s="294">
        <f>D27/C27</f>
        <v>0.27298585771310213</v>
      </c>
      <c r="E29" s="294">
        <f>E27/C27</f>
        <v>0.32831507802859156</v>
      </c>
      <c r="F29" s="294">
        <f>F27/C27</f>
        <v>0.39869906425830642</v>
      </c>
      <c r="G29" s="304">
        <f>D29+E29+F29</f>
        <v>1</v>
      </c>
    </row>
    <row r="30" spans="1:7" ht="15.75">
      <c r="A30" s="302"/>
      <c r="B30" s="303" t="s">
        <v>184</v>
      </c>
      <c r="C30" s="422"/>
      <c r="D30" s="305">
        <f>D27</f>
        <v>128185.31950000001</v>
      </c>
      <c r="E30" s="305">
        <f>D30+E27</f>
        <v>282351.44930000004</v>
      </c>
      <c r="F30" s="305">
        <f>F27+E30</f>
        <v>469567.62000000005</v>
      </c>
    </row>
    <row r="31" spans="1:7" ht="15.75">
      <c r="A31" s="302"/>
      <c r="B31" s="303" t="s">
        <v>185</v>
      </c>
      <c r="C31" s="423"/>
      <c r="D31" s="294">
        <f>D29</f>
        <v>0.27298585771310213</v>
      </c>
      <c r="E31" s="294">
        <f>D31+E29</f>
        <v>0.60130093574169363</v>
      </c>
      <c r="F31" s="294">
        <f>E31+F29</f>
        <v>1</v>
      </c>
    </row>
    <row r="32" spans="1:7">
      <c r="A32" s="66"/>
      <c r="B32" s="64"/>
      <c r="C32" s="65"/>
      <c r="D32" s="65"/>
      <c r="E32" s="64"/>
    </row>
    <row r="33" spans="3:4">
      <c r="C33" s="107"/>
      <c r="D33" s="107"/>
    </row>
  </sheetData>
  <mergeCells count="12">
    <mergeCell ref="C28:C31"/>
    <mergeCell ref="D9:D10"/>
    <mergeCell ref="B1:F1"/>
    <mergeCell ref="B2:F2"/>
    <mergeCell ref="B3:F3"/>
    <mergeCell ref="A5:F5"/>
    <mergeCell ref="A7:F7"/>
    <mergeCell ref="E9:E10"/>
    <mergeCell ref="F9:F10"/>
    <mergeCell ref="A9:A10"/>
    <mergeCell ref="B9:B10"/>
    <mergeCell ref="C9:C10"/>
  </mergeCells>
  <printOptions horizontalCentered="1" verticalCentered="1"/>
  <pageMargins left="0.51180555555555596" right="0.51180555555555596" top="1.4875" bottom="0.78680555555555598" header="0.31458333333333299" footer="0.31458333333333299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view="pageBreakPreview" zoomScale="106" zoomScaleNormal="100" zoomScaleSheetLayoutView="106" workbookViewId="0">
      <selection activeCell="D14" sqref="D14"/>
    </sheetView>
  </sheetViews>
  <sheetFormatPr defaultColWidth="9.140625" defaultRowHeight="12.75"/>
  <cols>
    <col min="1" max="1" width="9.28515625" style="229" customWidth="1"/>
    <col min="2" max="2" width="54.28515625" style="229" customWidth="1"/>
    <col min="3" max="3" width="7.42578125" style="229" customWidth="1"/>
    <col min="4" max="4" width="40.140625" style="229" customWidth="1"/>
    <col min="5" max="5" width="14.85546875" style="229" customWidth="1"/>
    <col min="6" max="6" width="9.140625" style="229"/>
    <col min="7" max="7" width="15.42578125" style="229" customWidth="1"/>
    <col min="8" max="10" width="9.140625" style="229"/>
    <col min="11" max="11" width="13.28515625" style="229" customWidth="1"/>
    <col min="12" max="12" width="9.140625" style="229"/>
    <col min="13" max="13" width="14" style="229"/>
    <col min="14" max="16384" width="9.140625" style="229"/>
  </cols>
  <sheetData>
    <row r="1" spans="1:13">
      <c r="A1" s="263"/>
      <c r="B1" s="431" t="s">
        <v>186</v>
      </c>
      <c r="C1" s="431"/>
      <c r="D1" s="431"/>
      <c r="E1" s="432"/>
    </row>
    <row r="2" spans="1:13">
      <c r="A2" s="264"/>
      <c r="B2" s="433" t="s">
        <v>188</v>
      </c>
      <c r="C2" s="433"/>
      <c r="D2" s="433"/>
      <c r="E2" s="434"/>
    </row>
    <row r="3" spans="1:13">
      <c r="A3" s="264"/>
      <c r="B3" s="433" t="s">
        <v>187</v>
      </c>
      <c r="C3" s="433"/>
      <c r="D3" s="433"/>
      <c r="E3" s="434"/>
    </row>
    <row r="4" spans="1:13">
      <c r="A4" s="438" t="str">
        <f>'Planilha - LIVRAMENTO'!A5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4" s="439"/>
      <c r="C4" s="439"/>
      <c r="D4" s="439"/>
      <c r="E4" s="440"/>
    </row>
    <row r="5" spans="1:13">
      <c r="A5" s="441"/>
      <c r="B5" s="442"/>
      <c r="C5" s="442"/>
      <c r="D5" s="442"/>
      <c r="E5" s="443"/>
      <c r="F5" s="266" t="s">
        <v>189</v>
      </c>
      <c r="H5" s="229">
        <v>1330.68</v>
      </c>
      <c r="I5" s="266" t="s">
        <v>42</v>
      </c>
      <c r="K5" s="282">
        <f>H5*68</f>
        <v>90486.24</v>
      </c>
    </row>
    <row r="6" spans="1:13" ht="41.1" customHeight="1">
      <c r="A6" s="441"/>
      <c r="B6" s="442"/>
      <c r="C6" s="442"/>
      <c r="D6" s="442"/>
      <c r="E6" s="443"/>
      <c r="F6" s="229" t="s">
        <v>190</v>
      </c>
      <c r="H6" s="267">
        <f>H10*H9</f>
        <v>514.50720000000001</v>
      </c>
      <c r="I6" s="229" t="s">
        <v>60</v>
      </c>
    </row>
    <row r="7" spans="1:13" ht="14.25">
      <c r="A7" s="435" t="s">
        <v>535</v>
      </c>
      <c r="B7" s="435"/>
      <c r="C7" s="435"/>
      <c r="D7" s="435"/>
      <c r="E7" s="435"/>
      <c r="F7" s="229" t="s">
        <v>191</v>
      </c>
      <c r="H7" s="267">
        <v>0.2</v>
      </c>
      <c r="I7" s="229" t="s">
        <v>63</v>
      </c>
    </row>
    <row r="8" spans="1:13">
      <c r="A8" s="268">
        <f>'Planilha - LIVRAMENTO'!A21</f>
        <v>2</v>
      </c>
      <c r="B8" s="269" t="str">
        <f>'Planilha - LIVRAMENTO'!D21</f>
        <v>TERRAPLENAGEM (CBUQ + INTERTRAVADO)</v>
      </c>
      <c r="C8" s="436"/>
      <c r="D8" s="436"/>
      <c r="E8" s="436"/>
      <c r="F8" s="229" t="s">
        <v>192</v>
      </c>
      <c r="H8" s="267">
        <v>428.75599999999997</v>
      </c>
      <c r="I8" s="229" t="s">
        <v>60</v>
      </c>
      <c r="M8" s="282"/>
    </row>
    <row r="9" spans="1:13" ht="38.25">
      <c r="A9" s="270" t="str">
        <f>'Planilha - LIVRAMENTO'!A22</f>
        <v>2.1</v>
      </c>
      <c r="B9" s="271" t="str">
        <f>'Planilha - LIVRAMENTO'!D22</f>
        <v>Limpeza mecanizada de camada vegetal, vegetação e pequenas árvores (diâmetro de tronco menor que 0,20 m), com trator de esteiras.af_05/2018</v>
      </c>
      <c r="C9" s="27" t="s">
        <v>42</v>
      </c>
      <c r="D9" s="276" t="s">
        <v>193</v>
      </c>
      <c r="E9" s="273">
        <f>H5+H9</f>
        <v>3474.46</v>
      </c>
      <c r="F9" s="266" t="s">
        <v>194</v>
      </c>
      <c r="H9" s="267">
        <v>2143.7800000000002</v>
      </c>
      <c r="I9" s="229" t="s">
        <v>42</v>
      </c>
      <c r="K9" s="282">
        <f>H9*68</f>
        <v>145777.04</v>
      </c>
    </row>
    <row r="10" spans="1:13" ht="25.5">
      <c r="A10" s="270" t="str">
        <f>'Planilha - LIVRAMENTO'!A23</f>
        <v>2.2</v>
      </c>
      <c r="B10" s="271" t="str">
        <f>'Planilha - LIVRAMENTO'!D23</f>
        <v>regularização e compactação de subleito de solo predominantemente argiloso</v>
      </c>
      <c r="C10" s="27" t="str">
        <f>'Planilha - LIVRAMENTO'!E23</f>
        <v>m²</v>
      </c>
      <c r="D10" s="272" t="s">
        <v>195</v>
      </c>
      <c r="E10" s="273">
        <f>H5+H9</f>
        <v>3474.46</v>
      </c>
      <c r="F10" s="229" t="s">
        <v>196</v>
      </c>
      <c r="H10" s="267">
        <v>0.24</v>
      </c>
      <c r="I10" s="229" t="s">
        <v>63</v>
      </c>
    </row>
    <row r="11" spans="1:13">
      <c r="A11" s="444"/>
      <c r="B11" s="444"/>
      <c r="C11" s="444"/>
      <c r="D11" s="444"/>
      <c r="E11" s="444"/>
      <c r="F11" s="229" t="s">
        <v>197</v>
      </c>
      <c r="H11" s="229">
        <v>386.12</v>
      </c>
      <c r="I11" s="229" t="s">
        <v>63</v>
      </c>
      <c r="J11" s="229" t="s">
        <v>198</v>
      </c>
      <c r="L11" s="229">
        <v>211.25</v>
      </c>
      <c r="M11" s="229" t="s">
        <v>63</v>
      </c>
    </row>
    <row r="12" spans="1:13">
      <c r="A12" s="268" t="str">
        <f>'Planilha - LIVRAMENTO'!A26</f>
        <v>3.1</v>
      </c>
      <c r="B12" s="269" t="str">
        <f>'Planilha - LIVRAMENTO'!B26</f>
        <v xml:space="preserve">CBUQ </v>
      </c>
      <c r="C12" s="436"/>
      <c r="D12" s="436"/>
      <c r="E12" s="436"/>
      <c r="F12" s="229" t="s">
        <v>198</v>
      </c>
      <c r="H12" s="229">
        <v>211.25</v>
      </c>
      <c r="I12" s="229" t="s">
        <v>63</v>
      </c>
      <c r="J12" s="229" t="s">
        <v>199</v>
      </c>
      <c r="L12" s="229">
        <f>0.3*0.2</f>
        <v>0.06</v>
      </c>
      <c r="M12" s="229" t="s">
        <v>42</v>
      </c>
    </row>
    <row r="13" spans="1:13" ht="38.25">
      <c r="A13" s="270" t="str">
        <f>'Planilha - LIVRAMENTO'!A27</f>
        <v>3.1.1</v>
      </c>
      <c r="B13" s="271" t="str">
        <f>'Planilha - LIVRAMENTO'!D27</f>
        <v>Escavação manual de vala com profundidade menor ou igual a 1,30 m c 02/2021</v>
      </c>
      <c r="C13" s="27" t="str">
        <f>'Planilha - LIVRAMENTO'!E27</f>
        <v>m³</v>
      </c>
      <c r="D13" s="272" t="s">
        <v>200</v>
      </c>
      <c r="E13" s="272">
        <f>H14</f>
        <v>35.842199999999998</v>
      </c>
      <c r="F13" s="229" t="s">
        <v>199</v>
      </c>
      <c r="H13" s="229">
        <v>0.06</v>
      </c>
      <c r="I13" s="229" t="s">
        <v>42</v>
      </c>
      <c r="J13" s="229" t="s">
        <v>201</v>
      </c>
      <c r="L13" s="267">
        <f>L12*(L11+H25)</f>
        <v>35.842199999999998</v>
      </c>
      <c r="M13" s="266" t="s">
        <v>60</v>
      </c>
    </row>
    <row r="14" spans="1:13" ht="51">
      <c r="A14" s="270" t="str">
        <f>'Planilha - LIVRAMENTO'!A28</f>
        <v>3.1.2</v>
      </c>
      <c r="B14" s="271" t="str">
        <f>'Planilha - LIVRAMENTO'!D28</f>
        <v>Assentamento de guia (meio fio) em trecho reto, confeccionada em concreto pré - fabricado, dimensões 100x15x13x30 cm (comprimento x base inferior x base superior x altura), para vias urbana (uso viário) .</v>
      </c>
      <c r="C14" s="27" t="str">
        <f>'Planilha - LIVRAMENTO'!E28</f>
        <v>m</v>
      </c>
      <c r="D14" s="272" t="s">
        <v>202</v>
      </c>
      <c r="E14" s="272">
        <f>H11</f>
        <v>386.12</v>
      </c>
      <c r="F14" s="229" t="s">
        <v>201</v>
      </c>
      <c r="H14" s="267">
        <f>H13*(H12+H11)</f>
        <v>35.842199999999998</v>
      </c>
      <c r="I14" s="266" t="s">
        <v>60</v>
      </c>
    </row>
    <row r="15" spans="1:13" ht="51">
      <c r="A15" s="270" t="str">
        <f>'Planilha - LIVRAMENTO'!A29</f>
        <v>3.1.3</v>
      </c>
      <c r="B15" s="271" t="str">
        <f>'Planilha - LIVRAMENTO'!D29</f>
        <v>Assentamento de guia (meio fio) em trecho curvo, confeccionada em concreto pré - fabricado, dimensões 100x15x13x30 cm (comprimento x base inferior x base superior x altura), para vias urbana (uso viário) .</v>
      </c>
      <c r="C15" s="27" t="str">
        <f>'Planilha - LIVRAMENTO'!E29</f>
        <v>m</v>
      </c>
      <c r="D15" s="272" t="s">
        <v>203</v>
      </c>
      <c r="E15" s="273">
        <f>H12</f>
        <v>211.25</v>
      </c>
      <c r="J15" s="229" t="s">
        <v>204</v>
      </c>
      <c r="L15" s="229">
        <v>0.3</v>
      </c>
      <c r="M15" s="266" t="s">
        <v>63</v>
      </c>
    </row>
    <row r="16" spans="1:13" ht="38.25">
      <c r="A16" s="270" t="str">
        <f>'Planilha - LIVRAMENTO'!A30</f>
        <v>3.1.4</v>
      </c>
      <c r="B16" s="271" t="str">
        <f>'Planilha - LIVRAMENTO'!D30</f>
        <v>Reaterro manual apiloado com soquete</v>
      </c>
      <c r="C16" s="27" t="str">
        <f>'Planilha - LIVRAMENTO'!E30</f>
        <v>m³</v>
      </c>
      <c r="D16" s="272" t="s">
        <v>205</v>
      </c>
      <c r="E16" s="273">
        <f>H17</f>
        <v>19.115839999999995</v>
      </c>
      <c r="F16" s="229" t="s">
        <v>204</v>
      </c>
      <c r="H16" s="229">
        <v>0.3</v>
      </c>
      <c r="I16" s="266" t="s">
        <v>63</v>
      </c>
      <c r="J16" s="229" t="s">
        <v>206</v>
      </c>
      <c r="L16" s="229">
        <f>L13-((H25+L11)*0.14*0.2)</f>
        <v>19.115839999999995</v>
      </c>
      <c r="M16" s="266" t="s">
        <v>60</v>
      </c>
    </row>
    <row r="17" spans="1:13" ht="25.5">
      <c r="A17" s="270" t="str">
        <f>'Planilha - LIVRAMENTO'!A31</f>
        <v>3.1.5</v>
      </c>
      <c r="B17" s="271" t="str">
        <f>'Planilha - LIVRAMENTO'!D31</f>
        <v>Base estabilizada granulometricamento com mistura de solo na pista (exclusive material de base)</v>
      </c>
      <c r="C17" s="27" t="str">
        <f>'Planilha - LIVRAMENTO'!E31</f>
        <v>m³</v>
      </c>
      <c r="D17" s="272" t="s">
        <v>207</v>
      </c>
      <c r="E17" s="273">
        <f>H8</f>
        <v>428.75599999999997</v>
      </c>
      <c r="F17" s="229" t="s">
        <v>206</v>
      </c>
      <c r="H17" s="229">
        <f>H14-((H11+H12)*0.14*0.2)</f>
        <v>19.115839999999995</v>
      </c>
      <c r="I17" s="266" t="s">
        <v>60</v>
      </c>
    </row>
    <row r="18" spans="1:13" ht="25.5">
      <c r="A18" s="270" t="str">
        <f>'Planilha - LIVRAMENTO'!A32</f>
        <v>3.1.6</v>
      </c>
      <c r="B18" s="271" t="str">
        <f>'Planilha - LIVRAMENTO'!D32</f>
        <v>Material para base com CBR&gt;60, adquirido solto na jazida, inclusive limpeza da área e carga, exclusive transporte</v>
      </c>
      <c r="C18" s="27" t="str">
        <f>'Planilha - LIVRAMENTO'!E32</f>
        <v>m³</v>
      </c>
      <c r="D18" s="272" t="s">
        <v>207</v>
      </c>
      <c r="E18" s="273">
        <f>E17</f>
        <v>428.75599999999997</v>
      </c>
      <c r="J18" s="229" t="s">
        <v>204</v>
      </c>
      <c r="L18" s="229">
        <v>0.3</v>
      </c>
      <c r="M18" s="266" t="s">
        <v>63</v>
      </c>
    </row>
    <row r="19" spans="1:13" ht="25.5">
      <c r="A19" s="270" t="str">
        <f>'Planilha - LIVRAMENTO'!A33</f>
        <v>3.1.7</v>
      </c>
      <c r="B19" s="271" t="str">
        <f>'Planilha - LIVRAMENTO'!D33</f>
        <v>Transporte com caminhão basculante de 14 m³, em via urbana em revestimento primário (material de base), DMT de 5 km</v>
      </c>
      <c r="C19" s="27" t="str">
        <f>'Planilha - LIVRAMENTO'!E33</f>
        <v>m³xKm</v>
      </c>
      <c r="D19" s="272" t="s">
        <v>208</v>
      </c>
      <c r="E19" s="273">
        <f>E18*5</f>
        <v>2143.7799999999997</v>
      </c>
      <c r="F19" s="266" t="s">
        <v>209</v>
      </c>
      <c r="H19" s="229">
        <v>4.4999999999999999E-4</v>
      </c>
      <c r="I19" s="266" t="s">
        <v>210</v>
      </c>
      <c r="J19" s="229" t="s">
        <v>206</v>
      </c>
      <c r="L19" s="229">
        <f>L16-((L13+L14)*0.14*0.2)</f>
        <v>18.112258399999995</v>
      </c>
      <c r="M19" s="266" t="s">
        <v>60</v>
      </c>
    </row>
    <row r="20" spans="1:13" ht="25.5">
      <c r="A20" s="270" t="str">
        <f>'Planilha - LIVRAMENTO'!A34</f>
        <v>3.1.8</v>
      </c>
      <c r="B20" s="271" t="str">
        <f>'Planilha - LIVRAMENTO'!D34</f>
        <v>Aquisição e transporte de emulsão asfáltica RR-2C</v>
      </c>
      <c r="C20" s="27" t="str">
        <f>'Planilha - LIVRAMENTO'!E34</f>
        <v>t</v>
      </c>
      <c r="D20" s="272" t="s">
        <v>211</v>
      </c>
      <c r="E20" s="273">
        <f>H22</f>
        <v>2.7869140000000003</v>
      </c>
      <c r="F20" s="266" t="s">
        <v>212</v>
      </c>
      <c r="H20" s="229">
        <v>0.13300000000000001</v>
      </c>
      <c r="I20" s="266" t="s">
        <v>213</v>
      </c>
      <c r="J20" s="266" t="s">
        <v>214</v>
      </c>
      <c r="L20" s="229">
        <f>H9*H24*L21</f>
        <v>207.94666000000001</v>
      </c>
      <c r="M20" s="266" t="s">
        <v>79</v>
      </c>
    </row>
    <row r="21" spans="1:13">
      <c r="A21" s="270" t="str">
        <f>'Planilha - LIVRAMENTO'!A35</f>
        <v>3.1.9</v>
      </c>
      <c r="B21" s="271" t="str">
        <f>'Planilha - LIVRAMENTO'!D35</f>
        <v>imprimação com emulsão asfáltica RR-2C</v>
      </c>
      <c r="C21" s="27" t="str">
        <f>'Planilha - LIVRAMENTO'!E35</f>
        <v>m²</v>
      </c>
      <c r="D21" s="272" t="s">
        <v>215</v>
      </c>
      <c r="E21" s="273">
        <f>H21</f>
        <v>2143.7800000000002</v>
      </c>
      <c r="F21" s="266" t="s">
        <v>216</v>
      </c>
      <c r="H21" s="267">
        <f>H9</f>
        <v>2143.7800000000002</v>
      </c>
      <c r="I21" s="266" t="s">
        <v>42</v>
      </c>
      <c r="J21" s="266" t="s">
        <v>217</v>
      </c>
      <c r="L21" s="229">
        <v>2.4249999999999998</v>
      </c>
      <c r="M21" s="266" t="s">
        <v>213</v>
      </c>
    </row>
    <row r="22" spans="1:13" ht="25.5">
      <c r="A22" s="270" t="str">
        <f>'Planilha - LIVRAMENTO'!A36</f>
        <v>3.1.10</v>
      </c>
      <c r="B22" s="271" t="str">
        <f>'Planilha - LIVRAMENTO'!D36</f>
        <v>Aquisição e transporte de CAP 50/70</v>
      </c>
      <c r="C22" s="27" t="str">
        <f>'Planilha - LIVRAMENTO'!E36</f>
        <v>t</v>
      </c>
      <c r="D22" s="272" t="s">
        <v>218</v>
      </c>
      <c r="E22" s="273">
        <f>H23</f>
        <v>11.404909600000002</v>
      </c>
      <c r="F22" s="266" t="s">
        <v>219</v>
      </c>
      <c r="H22" s="229">
        <f>H21*0.0013</f>
        <v>2.7869140000000003</v>
      </c>
      <c r="I22" s="266" t="s">
        <v>79</v>
      </c>
    </row>
    <row r="23" spans="1:13" ht="25.5">
      <c r="A23" s="270" t="str">
        <f>'Planilha - LIVRAMENTO'!A37</f>
        <v>3.1.11</v>
      </c>
      <c r="B23" s="271" t="str">
        <f>'Planilha - LIVRAMENTO'!D37</f>
        <v>Concreto asfáltico - faixa C - areia e brita comerciais</v>
      </c>
      <c r="C23" s="27" t="str">
        <f>'Planilha - LIVRAMENTO'!E37</f>
        <v>t</v>
      </c>
      <c r="D23" s="272" t="s">
        <v>220</v>
      </c>
      <c r="E23" s="273">
        <f>L20</f>
        <v>207.94666000000001</v>
      </c>
      <c r="F23" s="266" t="s">
        <v>214</v>
      </c>
      <c r="H23" s="229">
        <f>H9*H24*0.133</f>
        <v>11.404909600000002</v>
      </c>
      <c r="I23" s="266" t="s">
        <v>79</v>
      </c>
    </row>
    <row r="24" spans="1:13">
      <c r="A24" s="270" t="str">
        <f>'Planilha - LIVRAMENTO'!A38</f>
        <v>3.1.12</v>
      </c>
      <c r="B24" s="271" t="str">
        <f>'Planilha - LIVRAMENTO'!D38</f>
        <v>Cinta de amarração de alvenaria moldada in loco em concreto</v>
      </c>
      <c r="C24" s="27" t="str">
        <f>'Planilha - LIVRAMENTO'!E38</f>
        <v>m</v>
      </c>
      <c r="D24" s="277" t="s">
        <v>221</v>
      </c>
      <c r="E24" s="278">
        <v>25</v>
      </c>
      <c r="F24" s="266" t="s">
        <v>222</v>
      </c>
      <c r="H24" s="229">
        <v>0.04</v>
      </c>
      <c r="I24" s="266" t="s">
        <v>63</v>
      </c>
    </row>
    <row r="25" spans="1:13">
      <c r="A25" s="444"/>
      <c r="B25" s="444"/>
      <c r="C25" s="444"/>
      <c r="D25" s="444"/>
      <c r="E25" s="444"/>
      <c r="F25" s="229" t="s">
        <v>197</v>
      </c>
      <c r="H25" s="229">
        <v>386.12</v>
      </c>
      <c r="I25" s="229" t="s">
        <v>63</v>
      </c>
    </row>
    <row r="26" spans="1:13">
      <c r="A26" s="268" t="str">
        <f>'Planilha - LIVRAMENTO'!A40</f>
        <v>3.2</v>
      </c>
      <c r="B26" s="269" t="str">
        <f>'Planilha - LIVRAMENTO'!B40</f>
        <v>Intertravado</v>
      </c>
      <c r="C26" s="436"/>
      <c r="D26" s="436"/>
      <c r="E26" s="436"/>
    </row>
    <row r="27" spans="1:13" ht="25.5">
      <c r="A27" s="270" t="str">
        <f>'Planilha - LIVRAMENTO'!A41</f>
        <v>3.2.1</v>
      </c>
      <c r="B27" s="271" t="str">
        <f>'Planilha - LIVRAMENTO'!D41</f>
        <v>escavação manual de vala com profundidade menor ou igual a 1,30 m c 02/2021</v>
      </c>
      <c r="C27" s="27" t="str">
        <f>'Planilha - LIVRAMENTO'!E41</f>
        <v>m³</v>
      </c>
      <c r="D27" s="272" t="s">
        <v>223</v>
      </c>
      <c r="E27" s="272">
        <f>H30</f>
        <v>4.6390500000000001</v>
      </c>
      <c r="F27" s="266" t="s">
        <v>189</v>
      </c>
      <c r="H27" s="229">
        <f>790.04+540.64</f>
        <v>1330.6799999999998</v>
      </c>
      <c r="I27" s="266" t="s">
        <v>42</v>
      </c>
      <c r="J27" s="266" t="s">
        <v>224</v>
      </c>
      <c r="L27" s="266">
        <v>1.9</v>
      </c>
      <c r="M27" s="266" t="s">
        <v>213</v>
      </c>
    </row>
    <row r="28" spans="1:13" ht="25.5">
      <c r="A28" s="270" t="str">
        <f>'Planilha - LIVRAMENTO'!A42</f>
        <v>3.2.2</v>
      </c>
      <c r="B28" s="271" t="str">
        <f>'Planilha - LIVRAMENTO'!D42</f>
        <v>Lastro de concreto magro, aplicado em pisos, lajes sobre solo ou radier, espessura de 3 cm.</v>
      </c>
      <c r="C28" s="27" t="str">
        <f>'Planilha - LIVRAMENTO'!E42</f>
        <v>m²</v>
      </c>
      <c r="D28" s="272" t="s">
        <v>225</v>
      </c>
      <c r="E28" s="272">
        <f>H29*H31</f>
        <v>35.685000000000002</v>
      </c>
      <c r="F28" s="266" t="s">
        <v>189</v>
      </c>
      <c r="H28" s="229">
        <f>790.04+540.64</f>
        <v>1330.6799999999998</v>
      </c>
      <c r="I28" s="266" t="s">
        <v>42</v>
      </c>
      <c r="J28" s="266" t="s">
        <v>226</v>
      </c>
      <c r="L28" s="266">
        <v>5</v>
      </c>
      <c r="M28" s="266" t="s">
        <v>227</v>
      </c>
    </row>
    <row r="29" spans="1:13" ht="63.75">
      <c r="A29" s="270" t="str">
        <f>'Planilha - LIVRAMENTO'!A43</f>
        <v>3.2.3</v>
      </c>
      <c r="B29" s="271" t="str">
        <f>'Planilha - LIVRAMENTO'!D43</f>
        <v>Assentamento de guia (meio-fio) em trecho reto, confeccionado em concreto pré-fabricado, dimensões 39x6,5x6,5x19 cm (comprimento x base inferior x base superior x altura), para delimitação de jardins, praças ou passeios.</v>
      </c>
      <c r="C29" s="27" t="str">
        <f>'Planilha - LIVRAMENTO'!E43</f>
        <v>m</v>
      </c>
      <c r="D29" s="272" t="s">
        <v>228</v>
      </c>
      <c r="E29" s="272">
        <f>H29</f>
        <v>356.85</v>
      </c>
      <c r="F29" s="229" t="s">
        <v>229</v>
      </c>
      <c r="H29" s="229">
        <v>356.85</v>
      </c>
      <c r="I29" s="266" t="s">
        <v>63</v>
      </c>
      <c r="J29" s="266" t="s">
        <v>230</v>
      </c>
      <c r="L29" s="229">
        <v>790.04</v>
      </c>
      <c r="M29" s="266" t="s">
        <v>42</v>
      </c>
    </row>
    <row r="30" spans="1:13" ht="25.5">
      <c r="A30" s="270" t="str">
        <f>'Planilha - LIVRAMENTO'!A44</f>
        <v>3.2.4</v>
      </c>
      <c r="B30" s="271" t="str">
        <f>'Planilha - LIVRAMENTO'!D44</f>
        <v>Reaterro manual apiloado com soquete</v>
      </c>
      <c r="C30" s="27" t="str">
        <f>'Planilha - LIVRAMENTO'!E44</f>
        <v>m³</v>
      </c>
      <c r="D30" s="272" t="s">
        <v>231</v>
      </c>
      <c r="E30" s="273">
        <f>H30-(356.85*0.13*0.065)</f>
        <v>1.6236674999999998</v>
      </c>
      <c r="F30" s="229" t="s">
        <v>232</v>
      </c>
      <c r="H30" s="229">
        <f>H29*H31*H32</f>
        <v>4.6390500000000001</v>
      </c>
      <c r="I30" s="266" t="s">
        <v>60</v>
      </c>
      <c r="J30" s="266" t="s">
        <v>233</v>
      </c>
      <c r="L30" s="229">
        <v>540.64</v>
      </c>
      <c r="M30" s="266" t="s">
        <v>42</v>
      </c>
    </row>
    <row r="31" spans="1:13" ht="25.5">
      <c r="A31" s="270" t="str">
        <f>'Planilha - LIVRAMENTO'!A45</f>
        <v>3.2.5</v>
      </c>
      <c r="B31" s="271" t="str">
        <f>'Planilha - LIVRAMENTO'!D45</f>
        <v>Execução de pavimento em piso intertravado, com bloco sextavado de 25 x 25 cm, espessura 6 cm.</v>
      </c>
      <c r="C31" s="27" t="str">
        <f>'Planilha - LIVRAMENTO'!E45</f>
        <v>m²</v>
      </c>
      <c r="D31" s="279" t="s">
        <v>234</v>
      </c>
      <c r="E31" s="273">
        <f>L29</f>
        <v>790.04</v>
      </c>
      <c r="F31" s="229" t="s">
        <v>235</v>
      </c>
      <c r="H31" s="229">
        <v>0.1</v>
      </c>
      <c r="I31" s="266" t="s">
        <v>63</v>
      </c>
    </row>
    <row r="32" spans="1:13" ht="25.5">
      <c r="A32" s="270" t="str">
        <f>'Planilha - LIVRAMENTO'!A46</f>
        <v>3.2.6</v>
      </c>
      <c r="B32" s="271" t="str">
        <f>'Planilha - LIVRAMENTO'!D46</f>
        <v>Execução de passeio em piso intertravado, com bloco retangular colorido de 20 x 10  cm, espessura de 6 cm.</v>
      </c>
      <c r="C32" s="27" t="str">
        <f>'Planilha - LIVRAMENTO'!E46</f>
        <v>m²</v>
      </c>
      <c r="D32" s="272" t="s">
        <v>236</v>
      </c>
      <c r="E32" s="273">
        <v>487.87</v>
      </c>
      <c r="F32" s="229" t="s">
        <v>237</v>
      </c>
      <c r="H32" s="229">
        <v>0.13</v>
      </c>
      <c r="I32" s="266" t="s">
        <v>63</v>
      </c>
    </row>
    <row r="33" spans="1:13">
      <c r="A33" s="444"/>
      <c r="B33" s="444"/>
      <c r="C33" s="444"/>
      <c r="D33" s="444"/>
      <c r="E33" s="444"/>
      <c r="F33" s="229" t="s">
        <v>237</v>
      </c>
      <c r="H33" s="229">
        <v>0.13</v>
      </c>
      <c r="I33" s="266" t="s">
        <v>63</v>
      </c>
    </row>
    <row r="34" spans="1:13">
      <c r="A34" s="268">
        <f>'Planilha - LIVRAMENTO'!A49</f>
        <v>4</v>
      </c>
      <c r="B34" s="269" t="str">
        <f>'Planilha - LIVRAMENTO'!D49</f>
        <v>INSTALAÇAÕ DE PARQUE INFANTIL</v>
      </c>
      <c r="C34" s="436"/>
      <c r="D34" s="436"/>
      <c r="E34" s="436"/>
      <c r="F34" s="266" t="s">
        <v>238</v>
      </c>
      <c r="H34" s="266">
        <v>332.67</v>
      </c>
      <c r="I34" s="266" t="s">
        <v>60</v>
      </c>
    </row>
    <row r="35" spans="1:13" ht="25.5">
      <c r="A35" s="270" t="str">
        <f>'Planilha - LIVRAMENTO'!A50</f>
        <v>4.1</v>
      </c>
      <c r="B35" s="271" t="str">
        <f>'Planilha - LIVRAMENTO'!D50</f>
        <v>Execução do colchão de areia, esp.=20cm</v>
      </c>
      <c r="C35" s="27" t="str">
        <f>'Planilha - LIVRAMENTO'!E50</f>
        <v>m³</v>
      </c>
      <c r="D35" s="272" t="s">
        <v>239</v>
      </c>
      <c r="E35" s="273">
        <f>H38*H39</f>
        <v>45.400000000000006</v>
      </c>
      <c r="F35" s="266" t="s">
        <v>240</v>
      </c>
      <c r="H35" s="266">
        <f>H34*L28</f>
        <v>1663.3500000000001</v>
      </c>
      <c r="I35" s="266" t="s">
        <v>241</v>
      </c>
    </row>
    <row r="36" spans="1:13">
      <c r="A36" s="270" t="str">
        <f>'Planilha - LIVRAMENTO'!A51</f>
        <v>4.2</v>
      </c>
      <c r="B36" s="271" t="str">
        <f>'Planilha - LIVRAMENTO'!D51</f>
        <v>Parque infantil - fornecimento e montagem</v>
      </c>
      <c r="C36" s="27" t="str">
        <f>'Planilha - LIVRAMENTO'!E51</f>
        <v>un</v>
      </c>
      <c r="D36" s="272" t="s">
        <v>242</v>
      </c>
      <c r="E36" s="273">
        <f>1</f>
        <v>1</v>
      </c>
    </row>
    <row r="37" spans="1:13">
      <c r="A37" s="444"/>
      <c r="B37" s="444"/>
      <c r="C37" s="444"/>
      <c r="D37" s="444"/>
      <c r="E37" s="444"/>
    </row>
    <row r="38" spans="1:13">
      <c r="A38" s="268">
        <f>'Planilha - LIVRAMENTO'!A53</f>
        <v>5</v>
      </c>
      <c r="B38" s="269" t="str">
        <f>'Planilha - LIVRAMENTO'!D53</f>
        <v>INSTALAÇÕES ELÉTRICAS</v>
      </c>
      <c r="C38" s="436"/>
      <c r="D38" s="436"/>
      <c r="E38" s="436"/>
      <c r="F38" s="266" t="s">
        <v>243</v>
      </c>
      <c r="H38" s="266">
        <v>227</v>
      </c>
      <c r="I38" s="266" t="s">
        <v>42</v>
      </c>
    </row>
    <row r="39" spans="1:13" ht="63.75">
      <c r="A39" s="270" t="str">
        <f>'Planilha - LIVRAMENTO'!A54</f>
        <v>5.1</v>
      </c>
      <c r="B39" s="271" t="str">
        <f>'Planilha - LIVRAMENTO'!D54</f>
        <v>Escavação mecanizada de vala com profundidade até 1,5 m (média entre montante e jusante/uma composição por trecho) com retroescavadeira (capacidade da caçamba da retro: 0,26 m3 / potência: 88 hp), largura de 0,8 m a 1,5 m, em solo de 1a categoria, locais com baixo nível de interferência.</v>
      </c>
      <c r="C39" s="270" t="str">
        <f>'Planilha - LIVRAMENTO'!E54</f>
        <v>M³</v>
      </c>
      <c r="D39" s="272" t="s">
        <v>244</v>
      </c>
      <c r="E39" s="273">
        <f>ROUND((H41+H43)*H44*H45,2)</f>
        <v>80</v>
      </c>
      <c r="F39" s="266" t="s">
        <v>245</v>
      </c>
      <c r="H39" s="229">
        <v>0.2</v>
      </c>
      <c r="I39" s="266" t="s">
        <v>63</v>
      </c>
    </row>
    <row r="40" spans="1:13" ht="25.5">
      <c r="A40" s="270" t="str">
        <f>'Planilha - LIVRAMENTO'!A55</f>
        <v>5.2</v>
      </c>
      <c r="B40" s="271" t="str">
        <f>'Planilha - LIVRAMENTO'!D55</f>
        <v xml:space="preserve">Colchão de areia, espessura de 5 cm </v>
      </c>
      <c r="C40" s="270" t="str">
        <f>'Planilha - LIVRAMENTO'!E55</f>
        <v>M³</v>
      </c>
      <c r="D40" s="280" t="s">
        <v>246</v>
      </c>
      <c r="E40" s="229">
        <f>ROUND((H41+H43)*H50*H45,2)</f>
        <v>10</v>
      </c>
    </row>
    <row r="41" spans="1:13" ht="63.75">
      <c r="A41" s="270" t="str">
        <f>'Planilha - LIVRAMENTO'!A56</f>
        <v>5.3</v>
      </c>
      <c r="B41" s="271" t="str">
        <f>'Planilha - LIVRAMENTO'!D56</f>
        <v>Reaterro mecanizado de vala com retroescavadeira (capacidade da caçamba da retro: 0,26 m³ / potência: 88 hp), largura até 0,8 m, profundidade até 1,5 m, com solo de 1ª categoria em locais com baixo nível de interferência. af_04/2016</v>
      </c>
      <c r="C41" s="270" t="str">
        <f>'Planilha - LIVRAMENTO'!E56</f>
        <v>M³</v>
      </c>
      <c r="D41" s="272" t="s">
        <v>247</v>
      </c>
      <c r="E41" s="273">
        <f>H46</f>
        <v>69.295000000000002</v>
      </c>
      <c r="F41" s="266" t="s">
        <v>248</v>
      </c>
      <c r="H41" s="266">
        <v>435</v>
      </c>
      <c r="I41" s="266" t="s">
        <v>63</v>
      </c>
    </row>
    <row r="42" spans="1:13" ht="25.5">
      <c r="A42" s="270" t="str">
        <f>'Planilha - LIVRAMENTO'!A57</f>
        <v>5.4</v>
      </c>
      <c r="B42" s="271" t="str">
        <f>'Planilha - LIVRAMENTO'!D57</f>
        <v>disjuntor tripolar tipo din, corrente nominal de 32a - fornecimento e instalação.</v>
      </c>
      <c r="C42" s="270" t="str">
        <f>'Planilha - LIVRAMENTO'!E57</f>
        <v>UND</v>
      </c>
      <c r="D42" s="272" t="s">
        <v>242</v>
      </c>
      <c r="E42" s="273">
        <v>1</v>
      </c>
      <c r="F42" s="266"/>
      <c r="H42" s="266"/>
      <c r="I42" s="266"/>
    </row>
    <row r="43" spans="1:13" ht="25.5">
      <c r="A43" s="270" t="str">
        <f>'Planilha - LIVRAMENTO'!A58</f>
        <v>5.5</v>
      </c>
      <c r="B43" s="271" t="str">
        <f>'Planilha - LIVRAMENTO'!D58</f>
        <v>disjuntor tripolar tipo din, corrente nominal de 10a - fornecimento e instalação</v>
      </c>
      <c r="C43" s="270" t="str">
        <f>'Planilha - LIVRAMENTO'!E58</f>
        <v>UND</v>
      </c>
      <c r="D43" s="272" t="s">
        <v>242</v>
      </c>
      <c r="E43" s="273">
        <v>6</v>
      </c>
      <c r="F43" s="266" t="s">
        <v>249</v>
      </c>
      <c r="H43" s="229">
        <v>65</v>
      </c>
      <c r="I43" s="266" t="s">
        <v>63</v>
      </c>
      <c r="J43" s="229">
        <f>H43+H41</f>
        <v>500</v>
      </c>
    </row>
    <row r="44" spans="1:13">
      <c r="A44" s="270" t="str">
        <f>'Planilha - LIVRAMENTO'!A59</f>
        <v>5.6</v>
      </c>
      <c r="B44" s="271" t="str">
        <f>'Planilha - LIVRAMENTO'!D59</f>
        <v>eletroduto pvc rígido roscável diâmetro 1 1/4"</v>
      </c>
      <c r="C44" s="270" t="str">
        <f>'Planilha - LIVRAMENTO'!E59</f>
        <v>m</v>
      </c>
      <c r="D44" s="272" t="s">
        <v>242</v>
      </c>
      <c r="E44" s="273">
        <v>65</v>
      </c>
      <c r="F44" s="266" t="s">
        <v>204</v>
      </c>
      <c r="H44" s="229">
        <v>0.4</v>
      </c>
      <c r="I44" s="266" t="s">
        <v>63</v>
      </c>
      <c r="M44" s="229">
        <f>42.56+211.92+68.35+77.72+40.18</f>
        <v>440.72999999999996</v>
      </c>
    </row>
    <row r="45" spans="1:13">
      <c r="A45" s="270" t="str">
        <f>'Planilha - LIVRAMENTO'!A60</f>
        <v>5.7</v>
      </c>
      <c r="B45" s="271" t="str">
        <f>'Planilha - LIVRAMENTO'!D60</f>
        <v>eletroduto pvc rígido roscável diâmetro 3/4"</v>
      </c>
      <c r="C45" s="270" t="str">
        <f>'Planilha - LIVRAMENTO'!E60</f>
        <v>m</v>
      </c>
      <c r="D45" s="272" t="s">
        <v>242</v>
      </c>
      <c r="E45" s="273">
        <f>H41</f>
        <v>435</v>
      </c>
      <c r="F45" s="266" t="s">
        <v>250</v>
      </c>
      <c r="H45" s="229">
        <v>0.4</v>
      </c>
      <c r="I45" s="266" t="s">
        <v>63</v>
      </c>
      <c r="M45" s="229">
        <v>64.97</v>
      </c>
    </row>
    <row r="46" spans="1:13" ht="25.5">
      <c r="A46" s="270" t="str">
        <f>'Planilha - LIVRAMENTO'!A61</f>
        <v>5.8</v>
      </c>
      <c r="B46" s="271" t="str">
        <f>'Planilha - LIVRAMENTO'!D61</f>
        <v>Caixa de passagem em alvenaria de tijolos maciços esp. = 0,12 m, dim. Int. = 0,4 x 0,4 x 0,4 m</v>
      </c>
      <c r="C46" s="270" t="str">
        <f>'Planilha - LIVRAMENTO'!E61</f>
        <v xml:space="preserve"> UND </v>
      </c>
      <c r="D46" s="272" t="s">
        <v>242</v>
      </c>
      <c r="E46" s="273">
        <v>16</v>
      </c>
      <c r="F46" s="266" t="s">
        <v>251</v>
      </c>
      <c r="H46" s="229">
        <f>H49-E40-(0.0015*(65+405))</f>
        <v>69.295000000000002</v>
      </c>
    </row>
    <row r="47" spans="1:13" ht="25.5">
      <c r="A47" s="270" t="str">
        <f>'Planilha - LIVRAMENTO'!A62</f>
        <v>5.9</v>
      </c>
      <c r="B47" s="271" t="str">
        <f>'Planilha - LIVRAMENTO'!D62</f>
        <v xml:space="preserve">Tampa de concreto para caixas de passagem 0,4 x 0,4 x 0,07 m </v>
      </c>
      <c r="C47" s="270" t="str">
        <f>'Planilha - LIVRAMENTO'!E62</f>
        <v xml:space="preserve"> UND </v>
      </c>
      <c r="D47" s="272" t="s">
        <v>242</v>
      </c>
      <c r="E47" s="273">
        <v>16</v>
      </c>
      <c r="F47" s="266" t="s">
        <v>252</v>
      </c>
      <c r="H47" s="281">
        <v>1.5E-3</v>
      </c>
      <c r="I47" s="266" t="s">
        <v>42</v>
      </c>
    </row>
    <row r="48" spans="1:13" ht="38.25">
      <c r="A48" s="270" t="str">
        <f>'Planilha - LIVRAMENTO'!A63</f>
        <v>5.10</v>
      </c>
      <c r="B48" s="271" t="str">
        <f>'Planilha - LIVRAMENTO'!D63</f>
        <v>Luminarias decorativas com chapeu refletor em aluminio, poste de 3 m, inclusive lampada de 250 w (2 LUMINÁRIAS/LÂMPADAS)</v>
      </c>
      <c r="C48" s="270" t="str">
        <f>'Planilha - LIVRAMENTO'!E63</f>
        <v>UND</v>
      </c>
      <c r="D48" s="272" t="s">
        <v>242</v>
      </c>
      <c r="E48" s="273">
        <v>16</v>
      </c>
      <c r="F48" s="266" t="s">
        <v>252</v>
      </c>
      <c r="H48" s="266">
        <f>(3.14*((3*0.0254)/4)^2)/4</f>
        <v>2.8487846249999996E-4</v>
      </c>
      <c r="I48" s="266" t="s">
        <v>42</v>
      </c>
    </row>
    <row r="49" spans="1:9" ht="38.25">
      <c r="A49" s="270" t="str">
        <f>'Planilha - LIVRAMENTO'!A64</f>
        <v>5.11</v>
      </c>
      <c r="B49" s="271" t="str">
        <f>'Planilha - LIVRAMENTO'!D64</f>
        <v>cabo de cobre flexível isolado, 2,5 mm², anti-chama 450/750 v, para circuitos terminais - fornecimento e instalação. af_12/2015</v>
      </c>
      <c r="C49" s="270" t="str">
        <f>'Planilha - LIVRAMENTO'!E64</f>
        <v>M</v>
      </c>
      <c r="D49" s="272" t="s">
        <v>253</v>
      </c>
      <c r="E49" s="273">
        <f>H41*2+100</f>
        <v>970</v>
      </c>
      <c r="F49" s="266" t="s">
        <v>254</v>
      </c>
      <c r="H49" s="229">
        <f>(H43+H41)*H44*H45</f>
        <v>80</v>
      </c>
    </row>
    <row r="50" spans="1:9" ht="38.25">
      <c r="A50" s="270" t="str">
        <f>'Planilha - LIVRAMENTO'!A65</f>
        <v>5.12</v>
      </c>
      <c r="B50" s="271" t="str">
        <f>'Planilha - LIVRAMENTO'!D65</f>
        <v>cabo de cobre flexível isolado, 10 mm², anti-chama 450/750 v, para circuitos terminais - fornecimento e instalação. af_12/2015</v>
      </c>
      <c r="C50" s="270" t="str">
        <f>'Planilha - LIVRAMENTO'!E65</f>
        <v>M</v>
      </c>
      <c r="D50" s="272" t="s">
        <v>255</v>
      </c>
      <c r="E50" s="273">
        <f>H43*4</f>
        <v>260</v>
      </c>
      <c r="F50" s="266" t="s">
        <v>256</v>
      </c>
      <c r="H50" s="229">
        <v>0.05</v>
      </c>
      <c r="I50" s="266" t="s">
        <v>63</v>
      </c>
    </row>
    <row r="51" spans="1:9">
      <c r="A51" s="270" t="str">
        <f>'Planilha - LIVRAMENTO'!A66</f>
        <v>5.13</v>
      </c>
      <c r="B51" s="271" t="str">
        <f>'Planilha - LIVRAMENTO'!D66</f>
        <v>haste de terra em cobre tipo copperweld ø 5/8"x3,00m</v>
      </c>
      <c r="C51" s="270" t="str">
        <f>'Planilha - LIVRAMENTO'!E66</f>
        <v>PÇ</v>
      </c>
      <c r="D51" s="272" t="s">
        <v>242</v>
      </c>
      <c r="E51" s="273">
        <v>16</v>
      </c>
    </row>
    <row r="52" spans="1:9">
      <c r="A52" s="270" t="str">
        <f>'Planilha - LIVRAMENTO'!A67</f>
        <v>5.14</v>
      </c>
      <c r="B52" s="271" t="str">
        <f>'Planilha - LIVRAMENTO'!D67</f>
        <v>grampo de aterramento split-bolt, para cabo de # 10,0mm²</v>
      </c>
      <c r="C52" s="270" t="str">
        <f>'Planilha - LIVRAMENTO'!E67</f>
        <v>PÇ</v>
      </c>
      <c r="D52" s="272" t="s">
        <v>242</v>
      </c>
      <c r="E52" s="273">
        <v>16</v>
      </c>
    </row>
    <row r="53" spans="1:9">
      <c r="A53" s="270" t="str">
        <f>'Planilha - LIVRAMENTO'!A68</f>
        <v>5.15</v>
      </c>
      <c r="B53" s="271" t="str">
        <f>'Planilha - LIVRAMENTO'!D68</f>
        <v xml:space="preserve">relé fotoelétrico </v>
      </c>
      <c r="C53" s="270" t="str">
        <f>'Planilha - LIVRAMENTO'!E68</f>
        <v>PÇ</v>
      </c>
      <c r="D53" s="272" t="s">
        <v>242</v>
      </c>
      <c r="E53" s="273">
        <v>16</v>
      </c>
    </row>
    <row r="54" spans="1:9" ht="38.25">
      <c r="A54" s="270" t="str">
        <f>'Planilha - LIVRAMENTO'!A69</f>
        <v>5.16</v>
      </c>
      <c r="B54" s="271" t="str">
        <f>'Planilha - LIVRAMENTO'!D69</f>
        <v>quadro de distribuição de energia em chapa de aço galvanizado, de embutir, com barramento trifásico, para 12 disjuntores din 100a - fornecimento e instalação.</v>
      </c>
      <c r="C54" s="270" t="str">
        <f>'Planilha - LIVRAMENTO'!E69</f>
        <v>PÇ</v>
      </c>
      <c r="D54" s="272" t="s">
        <v>242</v>
      </c>
      <c r="E54" s="273">
        <v>1</v>
      </c>
    </row>
    <row r="55" spans="1:9">
      <c r="A55" s="270" t="str">
        <f>'Planilha - LIVRAMENTO'!A70</f>
        <v>5.17</v>
      </c>
      <c r="B55" s="271" t="str">
        <f>'Planilha - LIVRAMENTO'!D70</f>
        <v>quadro de medição de energia c padrão "coelba"</v>
      </c>
      <c r="C55" s="270" t="str">
        <f>'Planilha - LIVRAMENTO'!E70</f>
        <v>PÇ</v>
      </c>
      <c r="D55" s="272" t="s">
        <v>242</v>
      </c>
      <c r="E55" s="273">
        <v>1</v>
      </c>
    </row>
    <row r="56" spans="1:9">
      <c r="A56" s="444"/>
      <c r="B56" s="444"/>
      <c r="C56" s="444"/>
      <c r="D56" s="444"/>
      <c r="E56" s="444"/>
    </row>
    <row r="57" spans="1:9">
      <c r="A57" s="268">
        <f>'Planilha - LIVRAMENTO'!A72</f>
        <v>6</v>
      </c>
      <c r="B57" s="269" t="str">
        <f>'Planilha - LIVRAMENTO'!D72</f>
        <v>DIVERSOS</v>
      </c>
      <c r="C57" s="436"/>
      <c r="D57" s="436"/>
      <c r="E57" s="436"/>
    </row>
    <row r="58" spans="1:9" ht="25.5">
      <c r="A58" s="270" t="str">
        <f>'Planilha - LIVRAMENTO'!A73</f>
        <v>6.1</v>
      </c>
      <c r="B58" s="271" t="str">
        <f>'Planilha - LIVRAMENTO'!D73</f>
        <v>Banco com pés em concreto pré-moldado e assento e encosto de madeira</v>
      </c>
      <c r="C58" s="270" t="str">
        <f>'Planilha - LIVRAMENTO'!E73</f>
        <v>un</v>
      </c>
      <c r="D58" s="272" t="s">
        <v>242</v>
      </c>
      <c r="E58" s="273">
        <v>12</v>
      </c>
    </row>
    <row r="59" spans="1:9" ht="25.5">
      <c r="A59" s="270" t="str">
        <f>'Planilha - LIVRAMENTO'!A74</f>
        <v>6.2</v>
      </c>
      <c r="B59" s="271" t="str">
        <f>'Planilha - LIVRAMENTO'!D74</f>
        <v xml:space="preserve">conjunto de coleta seletiva com 4 lixeiras de 25l cada, tipo vai e vem com tampa e suporte metálico. </v>
      </c>
      <c r="C59" s="270" t="str">
        <f>'Planilha - LIVRAMENTO'!E74</f>
        <v>un</v>
      </c>
      <c r="D59" s="272" t="s">
        <v>242</v>
      </c>
      <c r="E59" s="273">
        <v>4</v>
      </c>
    </row>
    <row r="60" spans="1:9">
      <c r="A60" s="270" t="str">
        <f>'Planilha - LIVRAMENTO'!A75</f>
        <v>6.3</v>
      </c>
      <c r="B60" s="271" t="str">
        <f>'Planilha - LIVRAMENTO'!D75</f>
        <v>Grama esmeralda em mudas, fornecimento e plantio</v>
      </c>
      <c r="C60" s="270" t="str">
        <f>'Planilha - LIVRAMENTO'!E75</f>
        <v>m²</v>
      </c>
      <c r="D60" s="272" t="s">
        <v>242</v>
      </c>
      <c r="E60" s="273">
        <v>212.64</v>
      </c>
    </row>
    <row r="61" spans="1:9" ht="25.5">
      <c r="A61" s="270" t="str">
        <f>'Planilha - LIVRAMENTO'!A76</f>
        <v>6.4</v>
      </c>
      <c r="B61" s="271" t="str">
        <f>'Planilha - LIVRAMENTO'!D76</f>
        <v>Limpeza de ruas (varrição e remoção de entulhos)</v>
      </c>
      <c r="C61" s="270" t="str">
        <f>'Planilha - LIVRAMENTO'!E76</f>
        <v>m²</v>
      </c>
      <c r="D61" s="276" t="s">
        <v>193</v>
      </c>
      <c r="E61" s="273">
        <f>H5+H9</f>
        <v>3474.46</v>
      </c>
    </row>
    <row r="62" spans="1:9">
      <c r="A62" s="437" t="s">
        <v>257</v>
      </c>
      <c r="B62" s="437"/>
      <c r="C62" s="437"/>
      <c r="D62" s="437"/>
      <c r="E62" s="437"/>
    </row>
  </sheetData>
  <mergeCells count="17">
    <mergeCell ref="A62:E62"/>
    <mergeCell ref="A4:E6"/>
    <mergeCell ref="C34:E34"/>
    <mergeCell ref="A37:E37"/>
    <mergeCell ref="C38:E38"/>
    <mergeCell ref="A56:E56"/>
    <mergeCell ref="C57:E57"/>
    <mergeCell ref="A11:E11"/>
    <mergeCell ref="C12:E12"/>
    <mergeCell ref="A25:E25"/>
    <mergeCell ref="C26:E26"/>
    <mergeCell ref="A33:E33"/>
    <mergeCell ref="B1:E1"/>
    <mergeCell ref="B2:E2"/>
    <mergeCell ref="B3:E3"/>
    <mergeCell ref="A7:E7"/>
    <mergeCell ref="C8:E8"/>
  </mergeCells>
  <printOptions horizontalCentered="1"/>
  <pageMargins left="0.511811023622047" right="0.511811023622047" top="0.98425196850393704" bottom="0.78740157480314998" header="0.31496062992126" footer="0.31496062992126"/>
  <pageSetup paperSize="9" scale="6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view="pageBreakPreview" zoomScale="106" zoomScaleNormal="100" zoomScaleSheetLayoutView="106" workbookViewId="0">
      <selection activeCell="G18" sqref="G18"/>
    </sheetView>
  </sheetViews>
  <sheetFormatPr defaultColWidth="9.140625" defaultRowHeight="12.75"/>
  <cols>
    <col min="1" max="1" width="9.140625" style="230"/>
    <col min="2" max="2" width="27.5703125" style="230" customWidth="1"/>
    <col min="3" max="6" width="9.140625" style="230"/>
    <col min="7" max="7" width="14.42578125" style="230" customWidth="1"/>
    <col min="8" max="10" width="9.140625" style="230"/>
    <col min="11" max="11" width="8.28515625" style="230" customWidth="1"/>
    <col min="12" max="16384" width="9.140625" style="230"/>
  </cols>
  <sheetData>
    <row r="1" spans="1:14" s="229" customFormat="1" ht="12.75" customHeight="1">
      <c r="A1" s="453" t="s">
        <v>186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5"/>
    </row>
    <row r="2" spans="1:14" s="229" customFormat="1" ht="12.75" customHeight="1">
      <c r="A2" s="453" t="s">
        <v>258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5"/>
    </row>
    <row r="3" spans="1:14" s="229" customFormat="1" ht="12.75" customHeight="1">
      <c r="A3" s="453" t="s">
        <v>187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5"/>
    </row>
    <row r="4" spans="1:14">
      <c r="A4" s="231"/>
      <c r="B4" s="232"/>
      <c r="C4" s="232"/>
      <c r="D4" s="233"/>
      <c r="E4" s="233"/>
      <c r="F4" s="234"/>
      <c r="G4" s="235"/>
      <c r="H4" s="235"/>
      <c r="I4" s="235"/>
      <c r="J4" s="235"/>
      <c r="K4" s="235"/>
      <c r="L4" s="235"/>
      <c r="M4" s="235"/>
      <c r="N4" s="260"/>
    </row>
    <row r="5" spans="1:14" ht="56.25" customHeight="1">
      <c r="A5" s="456" t="str">
        <f>'Planilha - LIVRAMENTO'!A5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8"/>
    </row>
    <row r="6" spans="1:14">
      <c r="A6" s="236"/>
      <c r="B6" s="237"/>
      <c r="C6" s="237"/>
      <c r="D6" s="238"/>
      <c r="E6" s="239"/>
      <c r="F6" s="240"/>
      <c r="G6" s="240"/>
      <c r="H6" s="240"/>
      <c r="I6" s="240"/>
      <c r="J6" s="235"/>
      <c r="K6" s="235"/>
      <c r="L6" s="235"/>
      <c r="M6" s="235"/>
      <c r="N6" s="260"/>
    </row>
    <row r="7" spans="1:14" ht="26.25" customHeight="1">
      <c r="A7" s="450" t="s">
        <v>259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2"/>
    </row>
    <row r="8" spans="1:14" ht="12.75" customHeight="1">
      <c r="A8" s="450"/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2"/>
    </row>
    <row r="9" spans="1:14">
      <c r="A9" s="241"/>
      <c r="B9" s="242"/>
      <c r="C9" s="459" t="s">
        <v>536</v>
      </c>
      <c r="D9" s="459"/>
      <c r="E9" s="459"/>
      <c r="F9" s="459"/>
      <c r="G9" s="459"/>
      <c r="H9" s="459"/>
      <c r="I9" s="459"/>
      <c r="J9" s="459"/>
      <c r="K9" s="235"/>
      <c r="L9" s="235"/>
      <c r="M9" s="235"/>
      <c r="N9" s="260"/>
    </row>
    <row r="10" spans="1:14" ht="20.25">
      <c r="A10" s="445"/>
      <c r="B10" s="446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6"/>
      <c r="N10" s="447"/>
    </row>
    <row r="11" spans="1:14" ht="23.25">
      <c r="A11" s="243"/>
      <c r="B11" s="244"/>
      <c r="C11" s="244"/>
      <c r="D11" s="244"/>
      <c r="E11" s="244"/>
      <c r="F11" s="244"/>
      <c r="G11" s="235"/>
      <c r="H11" s="235"/>
      <c r="I11" s="235"/>
      <c r="J11" s="235"/>
      <c r="K11" s="235"/>
      <c r="L11" s="235"/>
      <c r="M11" s="235"/>
      <c r="N11" s="260"/>
    </row>
    <row r="12" spans="1:14">
      <c r="A12" s="245" t="s">
        <v>260</v>
      </c>
      <c r="B12" s="246"/>
      <c r="C12" s="247" t="s">
        <v>261</v>
      </c>
      <c r="D12" s="246"/>
      <c r="E12" s="248"/>
      <c r="F12" s="248"/>
      <c r="G12" s="235"/>
      <c r="H12" s="235"/>
      <c r="I12" s="235"/>
      <c r="J12" s="235"/>
      <c r="K12" s="235"/>
      <c r="L12" s="235"/>
      <c r="M12" s="235"/>
      <c r="N12" s="260"/>
    </row>
    <row r="13" spans="1:14">
      <c r="A13" s="245" t="s">
        <v>262</v>
      </c>
      <c r="B13" s="246"/>
      <c r="C13" s="247" t="s">
        <v>263</v>
      </c>
      <c r="D13" s="246"/>
      <c r="E13" s="248"/>
      <c r="F13" s="248"/>
      <c r="G13" s="235"/>
      <c r="H13" s="235"/>
      <c r="I13" s="235"/>
      <c r="J13" s="235"/>
      <c r="K13" s="235"/>
      <c r="L13" s="235"/>
      <c r="M13" s="235"/>
      <c r="N13" s="260"/>
    </row>
    <row r="14" spans="1:14">
      <c r="A14" s="249" t="s">
        <v>264</v>
      </c>
      <c r="B14" s="250"/>
      <c r="C14" s="251">
        <v>209</v>
      </c>
      <c r="D14" s="250" t="s">
        <v>265</v>
      </c>
      <c r="E14" s="235"/>
      <c r="F14" s="235"/>
      <c r="G14" s="235"/>
      <c r="H14" s="235"/>
      <c r="I14" s="235"/>
      <c r="J14" s="235"/>
      <c r="K14" s="235"/>
      <c r="L14" s="235"/>
      <c r="M14" s="235"/>
      <c r="N14" s="260"/>
    </row>
    <row r="15" spans="1:14">
      <c r="A15" s="249"/>
      <c r="B15" s="250"/>
      <c r="C15" s="252"/>
      <c r="D15" s="250"/>
      <c r="E15" s="235"/>
      <c r="F15" s="235"/>
      <c r="G15" s="235"/>
      <c r="H15" s="235"/>
      <c r="I15" s="235"/>
      <c r="J15" s="235"/>
      <c r="K15" s="235"/>
      <c r="L15" s="235"/>
      <c r="M15" s="235"/>
      <c r="N15" s="260"/>
    </row>
    <row r="16" spans="1:14">
      <c r="A16" s="249" t="s">
        <v>266</v>
      </c>
      <c r="B16" s="250"/>
      <c r="C16" s="253">
        <f>SUM(C14:C15)</f>
        <v>209</v>
      </c>
      <c r="D16" s="250" t="s">
        <v>265</v>
      </c>
      <c r="E16" s="235"/>
      <c r="F16" s="235"/>
      <c r="G16" s="235"/>
      <c r="H16" s="235"/>
      <c r="I16" s="235"/>
      <c r="J16" s="235"/>
      <c r="K16" s="235"/>
      <c r="L16" s="235"/>
      <c r="M16" s="235"/>
      <c r="N16" s="260"/>
    </row>
    <row r="17" spans="1:14">
      <c r="A17" s="249"/>
      <c r="B17" s="250"/>
      <c r="C17" s="250"/>
      <c r="D17" s="250"/>
      <c r="E17" s="235"/>
      <c r="F17" s="235"/>
      <c r="G17" s="235"/>
      <c r="H17" s="235"/>
      <c r="I17" s="235"/>
      <c r="J17" s="235"/>
      <c r="K17" s="235"/>
      <c r="L17" s="235"/>
      <c r="M17" s="235"/>
      <c r="N17" s="260"/>
    </row>
    <row r="18" spans="1:14">
      <c r="A18" s="249" t="s">
        <v>267</v>
      </c>
      <c r="B18" s="250"/>
      <c r="C18" s="250" t="s">
        <v>268</v>
      </c>
      <c r="D18" s="250"/>
      <c r="F18" s="250"/>
      <c r="G18" s="250"/>
      <c r="H18" s="251">
        <v>2.4</v>
      </c>
      <c r="I18" s="250" t="s">
        <v>269</v>
      </c>
      <c r="J18" s="235"/>
      <c r="K18" s="235"/>
      <c r="L18" s="235"/>
      <c r="M18" s="235"/>
      <c r="N18" s="260"/>
    </row>
    <row r="19" spans="1:14">
      <c r="A19" s="249" t="s">
        <v>267</v>
      </c>
      <c r="B19" s="250"/>
      <c r="C19" s="250" t="s">
        <v>270</v>
      </c>
      <c r="D19" s="250"/>
      <c r="F19" s="250"/>
      <c r="G19" s="250"/>
      <c r="H19" s="251">
        <v>11.5</v>
      </c>
      <c r="I19" s="250" t="s">
        <v>269</v>
      </c>
      <c r="J19" s="235"/>
      <c r="K19" s="235"/>
      <c r="L19" s="235"/>
      <c r="M19" s="235"/>
      <c r="N19" s="260"/>
    </row>
    <row r="20" spans="1:14">
      <c r="A20" s="249" t="s">
        <v>267</v>
      </c>
      <c r="B20" s="250"/>
      <c r="C20" s="250" t="s">
        <v>271</v>
      </c>
      <c r="D20" s="250"/>
      <c r="F20" s="250"/>
      <c r="G20" s="250"/>
      <c r="H20" s="251">
        <v>11.6</v>
      </c>
      <c r="I20" s="250" t="s">
        <v>269</v>
      </c>
      <c r="J20" s="235"/>
      <c r="K20" s="235"/>
      <c r="L20" s="235"/>
      <c r="M20" s="235"/>
      <c r="N20" s="260"/>
    </row>
    <row r="21" spans="1:14">
      <c r="A21" s="249" t="s">
        <v>267</v>
      </c>
      <c r="B21" s="250"/>
      <c r="C21" s="250" t="s">
        <v>272</v>
      </c>
      <c r="D21" s="250"/>
      <c r="F21" s="250"/>
      <c r="G21" s="250"/>
      <c r="H21" s="251">
        <v>7.2</v>
      </c>
      <c r="I21" s="250" t="s">
        <v>269</v>
      </c>
      <c r="J21" s="235"/>
      <c r="K21" s="235"/>
      <c r="L21" s="235"/>
      <c r="M21" s="235"/>
      <c r="N21" s="260"/>
    </row>
    <row r="22" spans="1:14">
      <c r="A22" s="249" t="s">
        <v>267</v>
      </c>
      <c r="B22" s="250"/>
      <c r="C22" s="250" t="s">
        <v>273</v>
      </c>
      <c r="D22" s="250"/>
      <c r="F22" s="250"/>
      <c r="G22" s="250"/>
      <c r="H22" s="251">
        <v>10.4</v>
      </c>
      <c r="I22" s="250" t="s">
        <v>269</v>
      </c>
      <c r="J22" s="235"/>
      <c r="K22" s="235"/>
      <c r="L22" s="235"/>
      <c r="M22" s="235"/>
      <c r="N22" s="260"/>
    </row>
    <row r="23" spans="1:14">
      <c r="A23" s="249" t="s">
        <v>267</v>
      </c>
      <c r="B23" s="250"/>
      <c r="C23" s="250" t="s">
        <v>274</v>
      </c>
      <c r="D23" s="250"/>
      <c r="F23" s="250"/>
      <c r="G23" s="250"/>
      <c r="H23" s="251">
        <v>14</v>
      </c>
      <c r="I23" s="250" t="s">
        <v>269</v>
      </c>
      <c r="J23" s="235"/>
      <c r="K23" s="235"/>
      <c r="L23" s="235"/>
      <c r="M23" s="235"/>
      <c r="N23" s="260"/>
    </row>
    <row r="24" spans="1:14">
      <c r="A24" s="254"/>
      <c r="B24" s="235"/>
      <c r="C24" s="235"/>
      <c r="D24" s="235"/>
      <c r="E24" s="250"/>
      <c r="F24" s="250"/>
      <c r="G24" s="250"/>
      <c r="H24" s="255"/>
      <c r="I24" s="250"/>
      <c r="J24" s="235"/>
      <c r="K24" s="235"/>
      <c r="L24" s="235"/>
      <c r="M24" s="235"/>
      <c r="N24" s="260"/>
    </row>
    <row r="25" spans="1:14">
      <c r="A25" s="254"/>
      <c r="B25" s="235"/>
      <c r="C25" s="235"/>
      <c r="D25" s="235"/>
      <c r="E25" s="256" t="s">
        <v>275</v>
      </c>
      <c r="F25" s="250"/>
      <c r="G25" s="250"/>
      <c r="H25" s="253">
        <f>SUM(H18:H23)</f>
        <v>57.1</v>
      </c>
      <c r="I25" s="250" t="s">
        <v>269</v>
      </c>
      <c r="J25" s="235"/>
      <c r="K25" s="235"/>
      <c r="L25" s="235"/>
      <c r="M25" s="235"/>
      <c r="N25" s="261"/>
    </row>
    <row r="26" spans="1:14">
      <c r="A26" s="254"/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60"/>
    </row>
    <row r="27" spans="1:14">
      <c r="A27" s="254"/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60"/>
    </row>
    <row r="28" spans="1:14" ht="15.75">
      <c r="A28" s="257" t="str">
        <f>"Momento de transporte  =  "&amp;TEXT(H25,"0,00")&amp;"  x  "&amp;TEXT(C16,"0,00")&amp;"            =&gt;"</f>
        <v>Momento de transporte  =  57,10  x  209,00            =&gt;</v>
      </c>
      <c r="B28" s="258"/>
      <c r="C28" s="258"/>
      <c r="D28" s="258"/>
      <c r="E28" s="258"/>
      <c r="F28" s="448">
        <f>ROUND(C16*H25,2)</f>
        <v>11933.9</v>
      </c>
      <c r="G28" s="449"/>
      <c r="H28" s="259" t="s">
        <v>276</v>
      </c>
      <c r="I28" s="258"/>
      <c r="J28" s="258"/>
      <c r="K28" s="258"/>
      <c r="L28" s="258"/>
      <c r="M28" s="258"/>
      <c r="N28" s="262"/>
    </row>
  </sheetData>
  <mergeCells count="8">
    <mergeCell ref="A10:N10"/>
    <mergeCell ref="F28:G28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18"/>
  <sheetViews>
    <sheetView view="pageBreakPreview" zoomScale="85" zoomScaleNormal="70" zoomScaleSheetLayoutView="85" workbookViewId="0">
      <selection activeCell="N20" sqref="N20"/>
    </sheetView>
  </sheetViews>
  <sheetFormatPr defaultColWidth="9" defaultRowHeight="12.75"/>
  <cols>
    <col min="2" max="2" width="11" customWidth="1"/>
    <col min="3" max="3" width="17.140625" customWidth="1"/>
    <col min="4" max="4" width="18.5703125" customWidth="1"/>
    <col min="5" max="5" width="43" customWidth="1"/>
    <col min="6" max="6" width="19.42578125" customWidth="1"/>
    <col min="7" max="7" width="14.28515625" customWidth="1"/>
    <col min="8" max="8" width="10.5703125" customWidth="1"/>
    <col min="9" max="9" width="10.7109375" customWidth="1"/>
    <col min="10" max="10" width="13.140625" customWidth="1"/>
    <col min="11" max="11" width="10" customWidth="1"/>
    <col min="12" max="12" width="14.28515625" customWidth="1"/>
    <col min="14" max="14" width="14.28515625" bestFit="1" customWidth="1"/>
    <col min="15" max="15" width="15.140625" customWidth="1"/>
    <col min="16" max="17" width="9.85546875" customWidth="1"/>
    <col min="20" max="20" width="13.140625" customWidth="1"/>
    <col min="21" max="22" width="12.28515625" customWidth="1"/>
  </cols>
  <sheetData>
    <row r="2" spans="2:22">
      <c r="B2" s="160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89"/>
      <c r="N2" s="189"/>
      <c r="O2" s="189"/>
      <c r="P2" s="161"/>
      <c r="Q2" s="161"/>
      <c r="R2" s="161"/>
      <c r="S2" s="161"/>
      <c r="T2" s="161"/>
      <c r="U2" s="161"/>
      <c r="V2" s="212"/>
    </row>
    <row r="3" spans="2:22" ht="15.75">
      <c r="B3" s="460"/>
      <c r="C3" s="461"/>
      <c r="D3" s="461"/>
      <c r="E3" s="461"/>
      <c r="F3" s="461"/>
      <c r="G3" s="461"/>
      <c r="H3" s="461"/>
      <c r="I3" s="461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213"/>
    </row>
    <row r="4" spans="2:22" ht="15.75">
      <c r="B4" s="460"/>
      <c r="C4" s="461"/>
      <c r="D4" s="461"/>
      <c r="E4" s="461"/>
      <c r="F4" s="461"/>
      <c r="G4" s="461"/>
      <c r="H4" s="461"/>
      <c r="I4" s="461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213"/>
    </row>
    <row r="5" spans="2:22" ht="15.75">
      <c r="B5" s="460"/>
      <c r="C5" s="461"/>
      <c r="D5" s="461"/>
      <c r="E5" s="461"/>
      <c r="F5" s="461"/>
      <c r="G5" s="461"/>
      <c r="H5" s="461"/>
      <c r="I5" s="461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213"/>
    </row>
    <row r="6" spans="2:22" ht="15.75">
      <c r="B6" s="460"/>
      <c r="C6" s="461"/>
      <c r="D6" s="461"/>
      <c r="E6" s="461"/>
      <c r="F6" s="461"/>
      <c r="G6" s="461"/>
      <c r="H6" s="461"/>
      <c r="I6" s="461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213"/>
    </row>
    <row r="7" spans="2:22" ht="15.75">
      <c r="B7" s="460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  <c r="O7" s="461"/>
      <c r="P7" s="461"/>
      <c r="Q7" s="461"/>
      <c r="R7" s="461"/>
      <c r="S7" s="461"/>
      <c r="T7" s="461"/>
      <c r="U7" s="461"/>
      <c r="V7" s="462"/>
    </row>
    <row r="8" spans="2:22" ht="21">
      <c r="B8" s="463" t="s">
        <v>277</v>
      </c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464"/>
      <c r="Q8" s="464"/>
      <c r="R8" s="464"/>
      <c r="S8" s="464"/>
      <c r="T8" s="214"/>
      <c r="U8" s="214"/>
      <c r="V8" s="215"/>
    </row>
    <row r="9" spans="2:22">
      <c r="B9" s="162"/>
      <c r="C9" s="4"/>
      <c r="D9" s="4"/>
      <c r="E9" s="4"/>
      <c r="F9" s="4"/>
      <c r="G9" s="4"/>
      <c r="H9" s="4"/>
      <c r="I9" s="4"/>
      <c r="J9" s="4"/>
      <c r="K9" s="4"/>
      <c r="L9" s="4"/>
      <c r="M9" s="191"/>
      <c r="N9" s="191"/>
      <c r="O9" s="191"/>
      <c r="P9" s="4"/>
      <c r="Q9" s="4"/>
      <c r="R9" s="4"/>
      <c r="S9" s="4"/>
      <c r="T9" s="4"/>
      <c r="U9" s="4"/>
      <c r="V9" s="216"/>
    </row>
    <row r="10" spans="2:22">
      <c r="B10" s="162"/>
      <c r="C10" s="4"/>
      <c r="D10" s="4"/>
      <c r="E10" s="4"/>
      <c r="F10" s="4"/>
      <c r="G10" s="4"/>
      <c r="H10" s="4"/>
      <c r="I10" s="4"/>
      <c r="J10" s="4"/>
      <c r="K10" s="4"/>
      <c r="L10" s="4"/>
      <c r="M10" s="191"/>
      <c r="N10" s="4"/>
      <c r="O10" s="191"/>
      <c r="P10" s="4"/>
      <c r="Q10" s="4"/>
      <c r="R10" s="4"/>
      <c r="S10" s="4"/>
      <c r="T10" s="4"/>
      <c r="U10" s="4"/>
      <c r="V10" s="216"/>
    </row>
    <row r="11" spans="2:22">
      <c r="B11" s="476" t="s">
        <v>278</v>
      </c>
      <c r="C11" s="163"/>
      <c r="D11" s="163"/>
      <c r="E11" s="163"/>
      <c r="F11" s="164"/>
      <c r="G11" s="465"/>
      <c r="H11" s="465"/>
      <c r="I11" s="192"/>
      <c r="J11" s="4"/>
      <c r="K11" s="479" t="s">
        <v>279</v>
      </c>
      <c r="L11" s="164" t="s">
        <v>280</v>
      </c>
      <c r="M11" s="193">
        <v>0.03</v>
      </c>
      <c r="N11" s="4"/>
      <c r="O11" s="191"/>
      <c r="P11" s="4"/>
      <c r="Q11" s="4"/>
      <c r="R11" s="4"/>
      <c r="S11" s="4"/>
      <c r="T11" s="4"/>
      <c r="U11" s="4"/>
      <c r="V11" s="216"/>
    </row>
    <row r="12" spans="2:22">
      <c r="B12" s="477"/>
      <c r="C12" s="165"/>
      <c r="D12" s="466"/>
      <c r="E12" s="466"/>
      <c r="F12" s="166">
        <v>41821</v>
      </c>
      <c r="G12" s="167" t="s">
        <v>281</v>
      </c>
      <c r="H12" s="168">
        <v>270.23700000000002</v>
      </c>
      <c r="I12" s="4"/>
      <c r="J12" s="4"/>
      <c r="K12" s="479"/>
      <c r="L12" s="164" t="s">
        <v>282</v>
      </c>
      <c r="M12" s="194">
        <v>6.4999999999999997E-3</v>
      </c>
      <c r="N12" s="4"/>
      <c r="O12" s="467" t="s">
        <v>283</v>
      </c>
      <c r="P12" s="468"/>
      <c r="Q12" s="4"/>
      <c r="R12" s="4"/>
      <c r="S12" s="4"/>
      <c r="T12" s="4"/>
      <c r="U12" s="4"/>
      <c r="V12" s="216"/>
    </row>
    <row r="13" spans="2:22" ht="15.75">
      <c r="B13" s="478"/>
      <c r="C13" s="163"/>
      <c r="D13" s="169"/>
      <c r="E13" s="163"/>
      <c r="F13" s="170">
        <v>44445</v>
      </c>
      <c r="G13" s="163" t="s">
        <v>284</v>
      </c>
      <c r="H13" s="171">
        <v>428.47500000000002</v>
      </c>
      <c r="I13" s="195">
        <f>ROUND(H13/H12,4)</f>
        <v>1.5855999999999999</v>
      </c>
      <c r="J13" s="4"/>
      <c r="K13" s="479"/>
      <c r="L13" s="164" t="s">
        <v>285</v>
      </c>
      <c r="M13" s="193">
        <v>0.18</v>
      </c>
      <c r="N13" s="196">
        <f>1-(M13/1)</f>
        <v>0.82000000000000006</v>
      </c>
      <c r="O13" s="467" t="s">
        <v>286</v>
      </c>
      <c r="P13" s="468"/>
      <c r="Q13" s="122"/>
      <c r="R13" s="4"/>
      <c r="S13" s="4"/>
      <c r="T13" s="4"/>
      <c r="U13" s="4"/>
      <c r="V13" s="216"/>
    </row>
    <row r="14" spans="2:22" ht="15">
      <c r="B14" s="172"/>
      <c r="C14" s="4"/>
      <c r="D14" s="173"/>
      <c r="E14" s="173" t="s">
        <v>287</v>
      </c>
      <c r="F14" s="170"/>
      <c r="G14" s="173"/>
      <c r="H14" s="4"/>
      <c r="I14" s="4"/>
      <c r="J14" s="4"/>
      <c r="K14" s="197"/>
      <c r="L14" s="197"/>
      <c r="M14" s="191"/>
      <c r="N14" s="191"/>
      <c r="O14" s="191"/>
      <c r="P14" s="4"/>
      <c r="Q14" s="4"/>
      <c r="R14" s="4"/>
      <c r="S14" s="4"/>
      <c r="T14" s="4"/>
      <c r="U14" s="4"/>
      <c r="V14" s="216"/>
    </row>
    <row r="15" spans="2:22" ht="85.5" customHeight="1">
      <c r="B15" s="174" t="s">
        <v>288</v>
      </c>
      <c r="C15" s="175" t="s">
        <v>289</v>
      </c>
      <c r="D15" s="469" t="s">
        <v>290</v>
      </c>
      <c r="E15" s="470"/>
      <c r="F15" s="470"/>
      <c r="G15" s="471"/>
      <c r="H15" s="472" t="s">
        <v>291</v>
      </c>
      <c r="I15" s="473"/>
      <c r="J15" s="198" t="s">
        <v>292</v>
      </c>
      <c r="K15" s="199" t="s">
        <v>293</v>
      </c>
      <c r="L15" s="200" t="s">
        <v>294</v>
      </c>
      <c r="M15" s="200" t="s">
        <v>295</v>
      </c>
      <c r="N15" s="199" t="s">
        <v>296</v>
      </c>
      <c r="O15" s="199" t="s">
        <v>297</v>
      </c>
      <c r="P15" s="199" t="s">
        <v>298</v>
      </c>
      <c r="Q15" s="199" t="s">
        <v>299</v>
      </c>
      <c r="R15" s="474" t="s">
        <v>300</v>
      </c>
      <c r="S15" s="475"/>
      <c r="T15" s="200" t="s">
        <v>301</v>
      </c>
      <c r="U15" s="217" t="s">
        <v>302</v>
      </c>
      <c r="V15" s="218" t="s">
        <v>303</v>
      </c>
    </row>
    <row r="16" spans="2:22" ht="30">
      <c r="B16" s="176">
        <f>F13</f>
        <v>44445</v>
      </c>
      <c r="C16" s="177"/>
      <c r="D16" s="178" t="s">
        <v>304</v>
      </c>
      <c r="E16" s="179" t="s">
        <v>305</v>
      </c>
      <c r="F16" s="178" t="s">
        <v>306</v>
      </c>
      <c r="G16" s="180" t="s">
        <v>307</v>
      </c>
      <c r="H16" s="181" t="s">
        <v>308</v>
      </c>
      <c r="I16" s="181" t="s">
        <v>309</v>
      </c>
      <c r="J16" s="201" t="s">
        <v>310</v>
      </c>
      <c r="K16" s="202" t="s">
        <v>310</v>
      </c>
      <c r="L16" s="202" t="s">
        <v>310</v>
      </c>
      <c r="M16" s="203" t="s">
        <v>311</v>
      </c>
      <c r="N16" s="202" t="s">
        <v>310</v>
      </c>
      <c r="O16" s="202" t="s">
        <v>310</v>
      </c>
      <c r="P16" s="202" t="s">
        <v>310</v>
      </c>
      <c r="Q16" s="202" t="s">
        <v>310</v>
      </c>
      <c r="R16" s="202" t="s">
        <v>312</v>
      </c>
      <c r="S16" s="202" t="s">
        <v>310</v>
      </c>
      <c r="T16" s="202" t="s">
        <v>310</v>
      </c>
      <c r="U16" s="202" t="s">
        <v>310</v>
      </c>
      <c r="V16" s="219" t="s">
        <v>310</v>
      </c>
    </row>
    <row r="17" spans="2:22" ht="90">
      <c r="B17" s="182" t="s">
        <v>77</v>
      </c>
      <c r="C17" s="183" t="s">
        <v>313</v>
      </c>
      <c r="D17" s="184" t="s">
        <v>314</v>
      </c>
      <c r="E17" s="185" t="s">
        <v>315</v>
      </c>
      <c r="F17" s="185" t="s">
        <v>316</v>
      </c>
      <c r="G17" s="185" t="s">
        <v>317</v>
      </c>
      <c r="H17" s="186"/>
      <c r="I17" s="186">
        <v>2.64446</v>
      </c>
      <c r="J17" s="204">
        <f>IF(AND(H17="",I17=""),"",IF(AND(H17&lt;&gt;0,I17=""),H17*1000,IF(AND(H17="",I17&lt;&gt;0),I17*1000,IF(AND(H17&lt;&gt;0,I17&lt;&gt;0),SMALL(H17:I17,1)*1000,""))))</f>
        <v>2644.46</v>
      </c>
      <c r="K17" s="205">
        <f>ROUND(((J17/$N$13)-J17)+(J17*$M$11)+(J17*$M$12),2)</f>
        <v>677.01</v>
      </c>
      <c r="L17" s="206">
        <f>IF(AND(H17="",I17=""),0,J17+K17)</f>
        <v>3321.4700000000003</v>
      </c>
      <c r="M17" s="207">
        <v>558</v>
      </c>
      <c r="N17" s="208">
        <v>168.11</v>
      </c>
      <c r="O17" s="208">
        <f>TRUNC((N17/$N$13)-N17,2)</f>
        <v>36.9</v>
      </c>
      <c r="P17" s="208">
        <v>120.04</v>
      </c>
      <c r="Q17" s="220">
        <f>N17+O17+P17</f>
        <v>325.05</v>
      </c>
      <c r="R17" s="221">
        <f>2*(7.2+12.9*3)</f>
        <v>91.800000000000011</v>
      </c>
      <c r="S17" s="221">
        <v>91.8</v>
      </c>
      <c r="T17" s="222">
        <f>IF(AND(N17="",O17=""),"",Q17+S17)</f>
        <v>416.85</v>
      </c>
      <c r="U17" s="223">
        <f>IF(OR(J17="",K17=""),"",J17+K17)</f>
        <v>3321.4700000000003</v>
      </c>
      <c r="V17" s="224">
        <f>IF(OR(T17="",U17=""),"",T17+U17)</f>
        <v>3738.32</v>
      </c>
    </row>
    <row r="18" spans="2:22" ht="90">
      <c r="B18" s="187" t="s">
        <v>84</v>
      </c>
      <c r="C18" s="183" t="s">
        <v>318</v>
      </c>
      <c r="D18" s="184" t="s">
        <v>314</v>
      </c>
      <c r="E18" s="185" t="s">
        <v>315</v>
      </c>
      <c r="F18" s="185" t="s">
        <v>316</v>
      </c>
      <c r="G18" s="185" t="s">
        <v>317</v>
      </c>
      <c r="H18" s="188">
        <v>3.32037</v>
      </c>
      <c r="I18" s="186"/>
      <c r="J18" s="209">
        <f>IF(AND(H18="",I18=""),"",IF(AND(H18&lt;&gt;0,I18=""),H18*1000,IF(AND(H18="",I18&lt;&gt;0),I18*1000,IF(AND(H18&lt;&gt;0,I18&lt;&gt;0),SMALL(H18:I18,1)*1000,""))))</f>
        <v>3320.37</v>
      </c>
      <c r="K18" s="210">
        <f>ROUND(((J18/$N$13)-J18)+(J18*$M$11)+(J18*$M$12),2)</f>
        <v>850.06</v>
      </c>
      <c r="L18" s="211">
        <f>IF(AND(H18="",I18=""),0,J18+K18)</f>
        <v>4170.43</v>
      </c>
      <c r="M18" s="207">
        <v>558</v>
      </c>
      <c r="N18" s="208">
        <v>168.11</v>
      </c>
      <c r="O18" s="208">
        <f>TRUNC((N18/$N$13)-N18,2)</f>
        <v>36.9</v>
      </c>
      <c r="P18" s="208">
        <f>TRUNC(IF($H$12="","",(($H$13-$H$12)/$H$12)*(N18+O18)),2)</f>
        <v>120.04</v>
      </c>
      <c r="Q18" s="225">
        <f>N18+O18+P18</f>
        <v>325.05</v>
      </c>
      <c r="R18" s="221">
        <f>2*(7.2+12.9*3)</f>
        <v>91.800000000000011</v>
      </c>
      <c r="S18" s="221">
        <f>2*(7.2+12.9*3)</f>
        <v>91.800000000000011</v>
      </c>
      <c r="T18" s="226">
        <f>IF(AND(N18="",O18=""),"",Q18+S18)</f>
        <v>416.85</v>
      </c>
      <c r="U18" s="227">
        <f>IF(OR(J18="",K18=""),"",J18+K18)</f>
        <v>4170.43</v>
      </c>
      <c r="V18" s="228">
        <f>IF(OR(T18="",U18=""),"",T18+U18)</f>
        <v>4587.2800000000007</v>
      </c>
    </row>
  </sheetData>
  <mergeCells count="15">
    <mergeCell ref="D15:G15"/>
    <mergeCell ref="H15:I15"/>
    <mergeCell ref="R15:S15"/>
    <mergeCell ref="B11:B13"/>
    <mergeCell ref="K11:K13"/>
    <mergeCell ref="B8:S8"/>
    <mergeCell ref="G11:H11"/>
    <mergeCell ref="D12:E12"/>
    <mergeCell ref="O12:P12"/>
    <mergeCell ref="O13:P13"/>
    <mergeCell ref="B3:I3"/>
    <mergeCell ref="B4:I4"/>
    <mergeCell ref="B5:I5"/>
    <mergeCell ref="B6:I6"/>
    <mergeCell ref="B7:V7"/>
  </mergeCells>
  <conditionalFormatting sqref="V17:V18">
    <cfRule type="top10" dxfId="0" priority="2" bottom="1" rank="1"/>
  </conditionalFormatting>
  <dataValidations disablePrompts="1" count="1">
    <dataValidation type="list" allowBlank="1" showErrorMessage="1" sqref="G11">
      <formula1>$BP$15:$BP$18</formula1>
    </dataValidation>
  </dataValidations>
  <pageMargins left="0.51180555555555596" right="0.51180555555555596" top="0.78680555555555598" bottom="0.78680555555555598" header="0.31458333333333299" footer="0.31458333333333299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54"/>
  <sheetViews>
    <sheetView view="pageBreakPreview" topLeftCell="A46" zoomScaleNormal="100" zoomScaleSheetLayoutView="100" workbookViewId="0">
      <selection activeCell="H12" sqref="H12"/>
    </sheetView>
  </sheetViews>
  <sheetFormatPr defaultColWidth="9" defaultRowHeight="12.75"/>
  <cols>
    <col min="1" max="3" width="13.28515625" customWidth="1"/>
    <col min="4" max="4" width="52.7109375" customWidth="1"/>
    <col min="6" max="6" width="18.42578125" customWidth="1"/>
    <col min="7" max="7" width="19.7109375" customWidth="1"/>
    <col min="8" max="8" width="19.42578125" customWidth="1"/>
    <col min="10" max="10" width="12.85546875"/>
  </cols>
  <sheetData>
    <row r="1" spans="1:8">
      <c r="A1" s="1"/>
      <c r="B1" s="2"/>
      <c r="C1" s="2"/>
      <c r="D1" s="480" t="s">
        <v>537</v>
      </c>
      <c r="E1" s="481"/>
      <c r="F1" s="481"/>
      <c r="G1" s="481"/>
      <c r="H1" s="482"/>
    </row>
    <row r="2" spans="1:8">
      <c r="A2" s="3"/>
      <c r="B2" s="4"/>
      <c r="C2" s="4"/>
      <c r="D2" s="483" t="s">
        <v>319</v>
      </c>
      <c r="E2" s="484"/>
      <c r="F2" s="484"/>
      <c r="G2" s="484"/>
      <c r="H2" s="485"/>
    </row>
    <row r="3" spans="1:8">
      <c r="A3" s="3"/>
      <c r="B3" s="4"/>
      <c r="C3" s="4"/>
      <c r="D3" s="483" t="s">
        <v>320</v>
      </c>
      <c r="E3" s="484"/>
      <c r="F3" s="484"/>
      <c r="G3" s="484"/>
      <c r="H3" s="485"/>
    </row>
    <row r="4" spans="1:8">
      <c r="A4" s="3"/>
      <c r="B4" s="4"/>
      <c r="C4" s="4"/>
      <c r="D4" s="4"/>
      <c r="E4" s="4"/>
      <c r="F4" s="4"/>
      <c r="G4" s="4"/>
      <c r="H4" s="5"/>
    </row>
    <row r="5" spans="1:8" ht="15.75">
      <c r="A5" s="486" t="s">
        <v>543</v>
      </c>
      <c r="B5" s="487"/>
      <c r="C5" s="487"/>
      <c r="D5" s="487"/>
      <c r="E5" s="487"/>
      <c r="F5" s="487"/>
      <c r="G5" s="487"/>
      <c r="H5" s="488"/>
    </row>
    <row r="6" spans="1:8" ht="15.75">
      <c r="A6" s="6"/>
      <c r="B6" s="7"/>
      <c r="C6" s="7"/>
      <c r="D6" s="7"/>
      <c r="E6" s="7"/>
      <c r="F6" s="7"/>
      <c r="G6" s="7"/>
      <c r="H6" s="8"/>
    </row>
    <row r="7" spans="1:8" ht="42.95" customHeight="1">
      <c r="A7" s="489" t="str">
        <f>'Planilha - LIVRAMENTO'!A5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490"/>
      <c r="C7" s="490"/>
      <c r="D7" s="490"/>
      <c r="E7" s="490"/>
      <c r="F7" s="490"/>
      <c r="G7" s="490"/>
      <c r="H7" s="491"/>
    </row>
    <row r="8" spans="1:8" ht="15.75">
      <c r="A8" s="6"/>
      <c r="B8" s="7"/>
      <c r="C8" s="7"/>
      <c r="D8" s="7"/>
      <c r="E8" s="7"/>
      <c r="F8" s="7"/>
      <c r="G8" s="7"/>
      <c r="H8" s="8"/>
    </row>
    <row r="9" spans="1:8" ht="21.95" customHeight="1">
      <c r="A9" s="3"/>
      <c r="B9" s="4"/>
      <c r="C9" s="7"/>
      <c r="D9" s="7"/>
      <c r="E9" s="4"/>
      <c r="F9" s="492" t="s">
        <v>321</v>
      </c>
      <c r="G9" s="493"/>
      <c r="H9" s="9">
        <f>BDI!D36</f>
        <v>0.21378112315270936</v>
      </c>
    </row>
    <row r="10" spans="1:8" ht="21.95" customHeight="1">
      <c r="A10" s="3"/>
      <c r="B10" s="4"/>
      <c r="C10" s="7"/>
      <c r="D10" s="7"/>
      <c r="E10" s="4"/>
      <c r="F10" s="494" t="s">
        <v>322</v>
      </c>
      <c r="G10" s="495"/>
      <c r="H10" s="10">
        <f>'ENC SOCIAIS'!F52</f>
        <v>1.1446999999999998</v>
      </c>
    </row>
    <row r="11" spans="1:8" ht="21.95" customHeight="1">
      <c r="A11" s="11" t="s">
        <v>8</v>
      </c>
      <c r="B11" s="398" t="s">
        <v>534</v>
      </c>
      <c r="C11" s="398"/>
      <c r="D11" s="398"/>
      <c r="E11" s="4"/>
      <c r="F11" s="496" t="s">
        <v>470</v>
      </c>
      <c r="G11" s="497"/>
      <c r="H11" s="498"/>
    </row>
    <row r="12" spans="1:8" ht="15" customHeight="1">
      <c r="A12" s="3"/>
      <c r="B12" s="4"/>
      <c r="C12" s="4"/>
      <c r="D12" s="4"/>
      <c r="E12" s="4"/>
      <c r="F12" s="4"/>
      <c r="G12" s="4"/>
      <c r="H12" s="5"/>
    </row>
    <row r="13" spans="1:8" ht="21.95" customHeight="1">
      <c r="A13" s="141" t="s">
        <v>323</v>
      </c>
      <c r="B13" s="141" t="s">
        <v>324</v>
      </c>
      <c r="C13" s="141" t="s">
        <v>12</v>
      </c>
      <c r="D13" s="142" t="s">
        <v>325</v>
      </c>
      <c r="E13" s="141" t="s">
        <v>14</v>
      </c>
      <c r="F13" s="143" t="s">
        <v>15</v>
      </c>
      <c r="G13" s="143" t="s">
        <v>326</v>
      </c>
      <c r="H13" s="143" t="s">
        <v>327</v>
      </c>
    </row>
    <row r="14" spans="1:8" ht="21.95" customHeight="1">
      <c r="A14" s="144" t="s">
        <v>328</v>
      </c>
      <c r="B14" s="144" t="s">
        <v>27</v>
      </c>
      <c r="C14" s="144">
        <v>90776</v>
      </c>
      <c r="D14" s="145" t="s">
        <v>329</v>
      </c>
      <c r="E14" s="144" t="s">
        <v>331</v>
      </c>
      <c r="F14" s="146">
        <v>176</v>
      </c>
      <c r="G14" s="154">
        <v>31.19</v>
      </c>
      <c r="H14" s="147">
        <f>ROUND(F14*G14,2)</f>
        <v>5489.44</v>
      </c>
    </row>
    <row r="15" spans="1:8" ht="24">
      <c r="A15" s="144" t="s">
        <v>328</v>
      </c>
      <c r="B15" s="144" t="s">
        <v>27</v>
      </c>
      <c r="C15" s="144">
        <v>90777</v>
      </c>
      <c r="D15" s="145" t="s">
        <v>330</v>
      </c>
      <c r="E15" s="144" t="s">
        <v>331</v>
      </c>
      <c r="F15" s="146">
        <v>30</v>
      </c>
      <c r="G15" s="154">
        <v>93.77</v>
      </c>
      <c r="H15" s="147">
        <f>ROUND(F15*G15,2)</f>
        <v>2813.1</v>
      </c>
    </row>
    <row r="16" spans="1:8" ht="21.95" customHeight="1">
      <c r="A16" s="3"/>
      <c r="B16" s="4"/>
      <c r="C16" s="4"/>
      <c r="D16" s="4"/>
      <c r="E16" s="499" t="s">
        <v>332</v>
      </c>
      <c r="F16" s="500"/>
      <c r="G16" s="501"/>
      <c r="H16" s="148">
        <f>ROUND(SUM(H14:H15),2)</f>
        <v>8302.5400000000009</v>
      </c>
    </row>
    <row r="17" spans="1:10" ht="21.95" customHeight="1">
      <c r="A17" s="3"/>
      <c r="B17" s="4"/>
      <c r="C17" s="4"/>
      <c r="D17" s="4"/>
      <c r="E17" s="502">
        <f>$H$9</f>
        <v>0.21378112315270936</v>
      </c>
      <c r="F17" s="500"/>
      <c r="G17" s="501"/>
      <c r="H17" s="149">
        <f>ROUND((E17*H16),2)</f>
        <v>1774.93</v>
      </c>
    </row>
    <row r="18" spans="1:10" ht="21.95" customHeight="1">
      <c r="A18" s="3"/>
      <c r="B18" s="4"/>
      <c r="C18" s="4"/>
      <c r="D18" s="4"/>
      <c r="E18" s="499" t="s">
        <v>332</v>
      </c>
      <c r="F18" s="500"/>
      <c r="G18" s="501"/>
      <c r="H18" s="148">
        <f>ROUND(H16+H17,2)</f>
        <v>10077.469999999999</v>
      </c>
    </row>
    <row r="19" spans="1:10" ht="21.95" customHeight="1">
      <c r="A19" s="3"/>
      <c r="B19" s="4"/>
      <c r="C19" s="4"/>
      <c r="D19" s="4"/>
      <c r="E19" s="499" t="s">
        <v>333</v>
      </c>
      <c r="F19" s="500"/>
      <c r="G19" s="501"/>
      <c r="H19" s="150">
        <f>ROUND(H18*3,2)</f>
        <v>30232.41</v>
      </c>
    </row>
    <row r="20" spans="1:10" ht="21.95" customHeight="1">
      <c r="A20" s="3"/>
      <c r="B20" s="4"/>
      <c r="C20" s="4"/>
      <c r="D20" s="4"/>
      <c r="E20" s="499" t="s">
        <v>334</v>
      </c>
      <c r="F20" s="500"/>
      <c r="G20" s="501"/>
      <c r="H20" s="151">
        <f>H19</f>
        <v>30232.41</v>
      </c>
      <c r="J20" s="155">
        <f>H20/'Planilha - LIVRAMENTO'!J79</f>
        <v>6.3388309099948539E-2</v>
      </c>
    </row>
    <row r="21" spans="1:10" ht="21.95" customHeight="1">
      <c r="A21" s="3"/>
      <c r="B21" s="4"/>
      <c r="C21" s="4"/>
      <c r="D21" s="4"/>
      <c r="E21" s="4"/>
      <c r="F21" s="4"/>
      <c r="G21" s="4"/>
      <c r="H21" s="5"/>
    </row>
    <row r="22" spans="1:10" ht="43.5" customHeight="1">
      <c r="A22" s="141" t="s">
        <v>34</v>
      </c>
      <c r="B22" s="141" t="s">
        <v>324</v>
      </c>
      <c r="C22" s="141" t="s">
        <v>12</v>
      </c>
      <c r="D22" s="142" t="s">
        <v>335</v>
      </c>
      <c r="E22" s="141" t="s">
        <v>14</v>
      </c>
      <c r="F22" s="143" t="s">
        <v>15</v>
      </c>
      <c r="G22" s="143" t="s">
        <v>326</v>
      </c>
      <c r="H22" s="143" t="s">
        <v>327</v>
      </c>
    </row>
    <row r="23" spans="1:10" ht="24">
      <c r="A23" s="144" t="s">
        <v>328</v>
      </c>
      <c r="B23" s="144" t="s">
        <v>81</v>
      </c>
      <c r="C23" s="152" t="s">
        <v>336</v>
      </c>
      <c r="D23" s="145" t="s">
        <v>337</v>
      </c>
      <c r="E23" s="144" t="s">
        <v>338</v>
      </c>
      <c r="F23" s="153">
        <v>4</v>
      </c>
      <c r="G23" s="154">
        <v>213.5</v>
      </c>
      <c r="H23" s="147">
        <f>ROUND(F23*G23,2)</f>
        <v>854</v>
      </c>
    </row>
    <row r="24" spans="1:10" ht="24">
      <c r="A24" s="144" t="s">
        <v>328</v>
      </c>
      <c r="B24" s="144" t="s">
        <v>81</v>
      </c>
      <c r="C24" s="152" t="s">
        <v>339</v>
      </c>
      <c r="D24" s="145" t="s">
        <v>340</v>
      </c>
      <c r="E24" s="144" t="s">
        <v>338</v>
      </c>
      <c r="F24" s="153">
        <v>4</v>
      </c>
      <c r="G24" s="154">
        <v>204.56</v>
      </c>
      <c r="H24" s="147">
        <f>ROUND(F24*G24,2)</f>
        <v>818.24</v>
      </c>
    </row>
    <row r="25" spans="1:10" ht="24">
      <c r="A25" s="144" t="s">
        <v>328</v>
      </c>
      <c r="B25" s="144" t="s">
        <v>81</v>
      </c>
      <c r="C25" s="152" t="s">
        <v>341</v>
      </c>
      <c r="D25" s="145" t="s">
        <v>342</v>
      </c>
      <c r="E25" s="144" t="s">
        <v>338</v>
      </c>
      <c r="F25" s="153">
        <v>4</v>
      </c>
      <c r="G25" s="154">
        <v>251.03</v>
      </c>
      <c r="H25" s="147">
        <f>ROUND(F25*G25,2)</f>
        <v>1004.12</v>
      </c>
    </row>
    <row r="26" spans="1:10" ht="36">
      <c r="A26" s="144" t="s">
        <v>328</v>
      </c>
      <c r="B26" s="144" t="s">
        <v>81</v>
      </c>
      <c r="C26" s="152">
        <v>5914640</v>
      </c>
      <c r="D26" s="145" t="s">
        <v>343</v>
      </c>
      <c r="E26" s="144" t="s">
        <v>344</v>
      </c>
      <c r="F26" s="153">
        <f>'Mobilização - LIVRAMENTO'!F28</f>
        <v>11933.9</v>
      </c>
      <c r="G26" s="154">
        <v>0.41</v>
      </c>
      <c r="H26" s="147">
        <f>ROUND(F26*G26,2)</f>
        <v>4892.8999999999996</v>
      </c>
    </row>
    <row r="27" spans="1:10" ht="21.95" customHeight="1">
      <c r="A27" s="3"/>
      <c r="B27" s="4"/>
      <c r="C27" s="4"/>
      <c r="D27" s="4"/>
      <c r="E27" s="499" t="s">
        <v>332</v>
      </c>
      <c r="F27" s="500"/>
      <c r="G27" s="501"/>
      <c r="H27" s="148">
        <f>SUM(H23:H26)</f>
        <v>7569.26</v>
      </c>
    </row>
    <row r="28" spans="1:10" ht="21.95" customHeight="1">
      <c r="A28" s="3"/>
      <c r="B28" s="4"/>
      <c r="C28" s="4"/>
      <c r="D28" s="4"/>
      <c r="E28" s="502">
        <f>H9</f>
        <v>0.21378112315270936</v>
      </c>
      <c r="F28" s="500"/>
      <c r="G28" s="501"/>
      <c r="H28" s="149">
        <f>ROUND((E28*H27),2)</f>
        <v>1618.16</v>
      </c>
    </row>
    <row r="29" spans="1:10" ht="21.95" customHeight="1">
      <c r="A29" s="3"/>
      <c r="B29" s="4"/>
      <c r="C29" s="4"/>
      <c r="D29" s="4"/>
      <c r="E29" s="499" t="s">
        <v>334</v>
      </c>
      <c r="F29" s="500"/>
      <c r="G29" s="501"/>
      <c r="H29" s="151">
        <f>ROUND(SUM(H27:H28),2)</f>
        <v>9187.42</v>
      </c>
    </row>
    <row r="30" spans="1:10" ht="35.25" customHeight="1">
      <c r="A30" s="141" t="s">
        <v>40</v>
      </c>
      <c r="B30" s="141" t="s">
        <v>324</v>
      </c>
      <c r="C30" s="141" t="s">
        <v>12</v>
      </c>
      <c r="D30" s="142" t="s">
        <v>345</v>
      </c>
      <c r="E30" s="141" t="s">
        <v>14</v>
      </c>
      <c r="F30" s="143" t="s">
        <v>15</v>
      </c>
      <c r="G30" s="143" t="s">
        <v>326</v>
      </c>
      <c r="H30" s="143" t="s">
        <v>327</v>
      </c>
    </row>
    <row r="31" spans="1:10">
      <c r="A31" s="144" t="s">
        <v>346</v>
      </c>
      <c r="B31" s="144" t="s">
        <v>27</v>
      </c>
      <c r="C31" s="144">
        <v>5075</v>
      </c>
      <c r="D31" s="145" t="s">
        <v>347</v>
      </c>
      <c r="E31" s="144" t="s">
        <v>348</v>
      </c>
      <c r="F31" s="153">
        <v>0.11</v>
      </c>
      <c r="G31" s="154">
        <v>19.73</v>
      </c>
      <c r="H31" s="147">
        <f t="shared" ref="H31:H40" si="0">ROUND(F31*G31,2)</f>
        <v>2.17</v>
      </c>
    </row>
    <row r="32" spans="1:10" ht="27" customHeight="1">
      <c r="A32" s="144" t="s">
        <v>346</v>
      </c>
      <c r="B32" s="144" t="s">
        <v>27</v>
      </c>
      <c r="C32" s="144">
        <v>4491</v>
      </c>
      <c r="D32" s="145" t="s">
        <v>349</v>
      </c>
      <c r="E32" s="144" t="s">
        <v>63</v>
      </c>
      <c r="F32" s="153">
        <v>4</v>
      </c>
      <c r="G32" s="154">
        <v>8.83</v>
      </c>
      <c r="H32" s="147">
        <f t="shared" si="0"/>
        <v>35.32</v>
      </c>
    </row>
    <row r="33" spans="1:8" ht="27" customHeight="1">
      <c r="A33" s="144" t="s">
        <v>346</v>
      </c>
      <c r="B33" s="144" t="s">
        <v>27</v>
      </c>
      <c r="C33" s="144">
        <v>4417</v>
      </c>
      <c r="D33" s="145" t="s">
        <v>350</v>
      </c>
      <c r="E33" s="144" t="s">
        <v>63</v>
      </c>
      <c r="F33" s="153">
        <v>1</v>
      </c>
      <c r="G33" s="154">
        <v>8.9499999999999993</v>
      </c>
      <c r="H33" s="147">
        <f t="shared" si="0"/>
        <v>8.9499999999999993</v>
      </c>
    </row>
    <row r="34" spans="1:8" ht="27" customHeight="1">
      <c r="A34" s="144" t="s">
        <v>346</v>
      </c>
      <c r="B34" s="144" t="s">
        <v>27</v>
      </c>
      <c r="C34" s="144">
        <v>4813</v>
      </c>
      <c r="D34" s="145" t="s">
        <v>351</v>
      </c>
      <c r="E34" s="144" t="s">
        <v>42</v>
      </c>
      <c r="F34" s="153">
        <v>1</v>
      </c>
      <c r="G34" s="154">
        <v>262.5</v>
      </c>
      <c r="H34" s="147">
        <f t="shared" si="0"/>
        <v>262.5</v>
      </c>
    </row>
    <row r="35" spans="1:8" ht="27" customHeight="1">
      <c r="A35" s="144" t="s">
        <v>346</v>
      </c>
      <c r="B35" s="144" t="s">
        <v>27</v>
      </c>
      <c r="C35" s="144">
        <v>370</v>
      </c>
      <c r="D35" s="145" t="s">
        <v>352</v>
      </c>
      <c r="E35" s="144" t="s">
        <v>60</v>
      </c>
      <c r="F35" s="153">
        <v>4.8999999999999998E-3</v>
      </c>
      <c r="G35" s="154">
        <v>100</v>
      </c>
      <c r="H35" s="147">
        <f t="shared" si="0"/>
        <v>0.49</v>
      </c>
    </row>
    <row r="36" spans="1:8" ht="27" customHeight="1">
      <c r="A36" s="144" t="s">
        <v>346</v>
      </c>
      <c r="B36" s="144" t="s">
        <v>27</v>
      </c>
      <c r="C36" s="144">
        <v>1379</v>
      </c>
      <c r="D36" s="145" t="s">
        <v>353</v>
      </c>
      <c r="E36" s="144" t="s">
        <v>348</v>
      </c>
      <c r="F36" s="153">
        <v>1.5</v>
      </c>
      <c r="G36" s="154">
        <v>0.75</v>
      </c>
      <c r="H36" s="147">
        <f t="shared" si="0"/>
        <v>1.1299999999999999</v>
      </c>
    </row>
    <row r="37" spans="1:8">
      <c r="A37" s="144" t="s">
        <v>346</v>
      </c>
      <c r="B37" s="144" t="s">
        <v>27</v>
      </c>
      <c r="C37" s="144">
        <v>4718</v>
      </c>
      <c r="D37" s="145" t="s">
        <v>354</v>
      </c>
      <c r="E37" s="144" t="s">
        <v>60</v>
      </c>
      <c r="F37" s="153">
        <v>9.7999999999999997E-3</v>
      </c>
      <c r="G37" s="154">
        <v>70.02</v>
      </c>
      <c r="H37" s="147">
        <f t="shared" si="0"/>
        <v>0.69</v>
      </c>
    </row>
    <row r="38" spans="1:8" ht="24">
      <c r="A38" s="144" t="s">
        <v>355</v>
      </c>
      <c r="B38" s="144" t="s">
        <v>27</v>
      </c>
      <c r="C38" s="144">
        <v>87445</v>
      </c>
      <c r="D38" s="145" t="s">
        <v>356</v>
      </c>
      <c r="E38" s="144" t="s">
        <v>357</v>
      </c>
      <c r="F38" s="153">
        <v>6.4999999999999997E-3</v>
      </c>
      <c r="G38" s="154">
        <v>4.51</v>
      </c>
      <c r="H38" s="147">
        <f t="shared" si="0"/>
        <v>0.03</v>
      </c>
    </row>
    <row r="39" spans="1:8" ht="27" customHeight="1">
      <c r="A39" s="144" t="s">
        <v>355</v>
      </c>
      <c r="B39" s="144" t="s">
        <v>27</v>
      </c>
      <c r="C39" s="144">
        <v>88262</v>
      </c>
      <c r="D39" s="145" t="s">
        <v>358</v>
      </c>
      <c r="E39" s="144" t="s">
        <v>357</v>
      </c>
      <c r="F39" s="153">
        <v>1</v>
      </c>
      <c r="G39" s="154">
        <v>26.39</v>
      </c>
      <c r="H39" s="147">
        <f t="shared" si="0"/>
        <v>26.39</v>
      </c>
    </row>
    <row r="40" spans="1:8" ht="27" customHeight="1">
      <c r="A40" s="144" t="s">
        <v>355</v>
      </c>
      <c r="B40" s="144" t="s">
        <v>27</v>
      </c>
      <c r="C40" s="144">
        <v>88316</v>
      </c>
      <c r="D40" s="145" t="s">
        <v>359</v>
      </c>
      <c r="E40" s="144" t="s">
        <v>357</v>
      </c>
      <c r="F40" s="153">
        <v>2.06</v>
      </c>
      <c r="G40" s="154">
        <v>18.79</v>
      </c>
      <c r="H40" s="147">
        <f t="shared" si="0"/>
        <v>38.71</v>
      </c>
    </row>
    <row r="41" spans="1:8" ht="21.95" customHeight="1">
      <c r="A41" s="3"/>
      <c r="B41" s="4"/>
      <c r="C41" s="4"/>
      <c r="D41" s="4"/>
      <c r="E41" s="499" t="s">
        <v>332</v>
      </c>
      <c r="F41" s="500"/>
      <c r="G41" s="501"/>
      <c r="H41" s="148">
        <f>SUM(H31:H40)</f>
        <v>376.37999999999994</v>
      </c>
    </row>
    <row r="42" spans="1:8" ht="21.95" customHeight="1">
      <c r="A42" s="3"/>
      <c r="B42" s="4"/>
      <c r="C42" s="4"/>
      <c r="D42" s="4"/>
      <c r="E42" s="502">
        <f>H9</f>
        <v>0.21378112315270936</v>
      </c>
      <c r="F42" s="500"/>
      <c r="G42" s="501"/>
      <c r="H42" s="149">
        <f>ROUND((E42*H41),2)</f>
        <v>80.459999999999994</v>
      </c>
    </row>
    <row r="43" spans="1:8" ht="21.95" customHeight="1">
      <c r="A43" s="157"/>
      <c r="B43" s="158"/>
      <c r="C43" s="158"/>
      <c r="D43" s="158"/>
      <c r="E43" s="499" t="s">
        <v>334</v>
      </c>
      <c r="F43" s="500"/>
      <c r="G43" s="501"/>
      <c r="H43" s="151">
        <f>ROUND(H41+H42,2)</f>
        <v>456.84</v>
      </c>
    </row>
    <row r="45" spans="1:8" ht="35.25" customHeight="1">
      <c r="A45" s="141" t="s">
        <v>44</v>
      </c>
      <c r="B45" s="141" t="s">
        <v>324</v>
      </c>
      <c r="C45" s="141" t="s">
        <v>12</v>
      </c>
      <c r="D45" s="142" t="s">
        <v>360</v>
      </c>
      <c r="E45" s="141" t="s">
        <v>14</v>
      </c>
      <c r="F45" s="143" t="s">
        <v>15</v>
      </c>
      <c r="G45" s="143" t="s">
        <v>326</v>
      </c>
      <c r="H45" s="143" t="s">
        <v>327</v>
      </c>
    </row>
    <row r="46" spans="1:8" ht="36">
      <c r="A46" s="144" t="s">
        <v>346</v>
      </c>
      <c r="B46" s="144" t="s">
        <v>27</v>
      </c>
      <c r="C46" s="144">
        <v>20206</v>
      </c>
      <c r="D46" s="145" t="s">
        <v>361</v>
      </c>
      <c r="E46" s="144" t="s">
        <v>63</v>
      </c>
      <c r="F46" s="159">
        <v>2.8860000000000001E-3</v>
      </c>
      <c r="G46" s="154">
        <v>11.31</v>
      </c>
      <c r="H46" s="147">
        <f t="shared" ref="H46:H51" si="1">ROUND(F46*G46,2)</f>
        <v>0.03</v>
      </c>
    </row>
    <row r="47" spans="1:8" ht="27" customHeight="1">
      <c r="A47" s="144" t="s">
        <v>355</v>
      </c>
      <c r="B47" s="144" t="s">
        <v>27</v>
      </c>
      <c r="C47" s="144">
        <v>88253</v>
      </c>
      <c r="D47" s="145" t="s">
        <v>362</v>
      </c>
      <c r="E47" s="144" t="s">
        <v>357</v>
      </c>
      <c r="F47" s="159">
        <v>2.5000000000000001E-3</v>
      </c>
      <c r="G47" s="154">
        <v>13.6</v>
      </c>
      <c r="H47" s="147">
        <f t="shared" si="1"/>
        <v>0.03</v>
      </c>
    </row>
    <row r="48" spans="1:8" ht="27" customHeight="1">
      <c r="A48" s="144" t="s">
        <v>355</v>
      </c>
      <c r="B48" s="144" t="s">
        <v>27</v>
      </c>
      <c r="C48" s="144">
        <v>88288</v>
      </c>
      <c r="D48" s="145" t="s">
        <v>363</v>
      </c>
      <c r="E48" s="144" t="s">
        <v>357</v>
      </c>
      <c r="F48" s="159">
        <v>2.5000000000000001E-3</v>
      </c>
      <c r="G48" s="154">
        <v>16.73</v>
      </c>
      <c r="H48" s="147">
        <f t="shared" si="1"/>
        <v>0.04</v>
      </c>
    </row>
    <row r="49" spans="1:8" ht="27" customHeight="1">
      <c r="A49" s="144" t="s">
        <v>355</v>
      </c>
      <c r="B49" s="144" t="s">
        <v>27</v>
      </c>
      <c r="C49" s="144">
        <v>88316</v>
      </c>
      <c r="D49" s="145" t="s">
        <v>359</v>
      </c>
      <c r="E49" s="144" t="s">
        <v>357</v>
      </c>
      <c r="F49" s="159">
        <v>7.4999999999999997E-3</v>
      </c>
      <c r="G49" s="154">
        <v>18.79</v>
      </c>
      <c r="H49" s="147">
        <f t="shared" si="1"/>
        <v>0.14000000000000001</v>
      </c>
    </row>
    <row r="50" spans="1:8" ht="27" customHeight="1">
      <c r="A50" s="144" t="s">
        <v>355</v>
      </c>
      <c r="B50" s="144" t="s">
        <v>27</v>
      </c>
      <c r="C50" s="144">
        <v>88597</v>
      </c>
      <c r="D50" s="145" t="s">
        <v>364</v>
      </c>
      <c r="E50" s="144" t="s">
        <v>357</v>
      </c>
      <c r="F50" s="159">
        <v>2E-3</v>
      </c>
      <c r="G50" s="154">
        <v>43.22</v>
      </c>
      <c r="H50" s="147">
        <f t="shared" si="1"/>
        <v>0.09</v>
      </c>
    </row>
    <row r="51" spans="1:8" ht="36">
      <c r="A51" s="144" t="s">
        <v>355</v>
      </c>
      <c r="B51" s="144" t="s">
        <v>27</v>
      </c>
      <c r="C51" s="144">
        <v>92145</v>
      </c>
      <c r="D51" s="145" t="s">
        <v>365</v>
      </c>
      <c r="E51" s="144" t="s">
        <v>366</v>
      </c>
      <c r="F51" s="159">
        <v>1E-3</v>
      </c>
      <c r="G51" s="154">
        <v>78.27</v>
      </c>
      <c r="H51" s="147">
        <f t="shared" si="1"/>
        <v>0.08</v>
      </c>
    </row>
    <row r="52" spans="1:8" ht="21.95" customHeight="1">
      <c r="A52" s="3"/>
      <c r="B52" s="4"/>
      <c r="C52" s="4"/>
      <c r="D52" s="4"/>
      <c r="E52" s="499" t="s">
        <v>332</v>
      </c>
      <c r="F52" s="500"/>
      <c r="G52" s="501"/>
      <c r="H52" s="148">
        <f>SUM(H46:H51)</f>
        <v>0.41000000000000003</v>
      </c>
    </row>
    <row r="53" spans="1:8" ht="21.95" customHeight="1">
      <c r="A53" s="3"/>
      <c r="B53" s="4"/>
      <c r="C53" s="4"/>
      <c r="D53" s="4"/>
      <c r="E53" s="502">
        <f>H9</f>
        <v>0.21378112315270936</v>
      </c>
      <c r="F53" s="500"/>
      <c r="G53" s="501"/>
      <c r="H53" s="149">
        <f>ROUND((E53*H52),2)</f>
        <v>0.09</v>
      </c>
    </row>
    <row r="54" spans="1:8" ht="21.95" customHeight="1">
      <c r="A54" s="157"/>
      <c r="B54" s="158"/>
      <c r="C54" s="158"/>
      <c r="D54" s="158"/>
      <c r="E54" s="499" t="s">
        <v>334</v>
      </c>
      <c r="F54" s="500"/>
      <c r="G54" s="501"/>
      <c r="H54" s="151">
        <f>ROUND(H52+H53,2)</f>
        <v>0.5</v>
      </c>
    </row>
  </sheetData>
  <mergeCells count="23">
    <mergeCell ref="E54:G54"/>
    <mergeCell ref="E41:G41"/>
    <mergeCell ref="E42:G42"/>
    <mergeCell ref="E43:G43"/>
    <mergeCell ref="E52:G52"/>
    <mergeCell ref="E53:G53"/>
    <mergeCell ref="E28:G28"/>
    <mergeCell ref="E29:G29"/>
    <mergeCell ref="E27:G27"/>
    <mergeCell ref="E17:G17"/>
    <mergeCell ref="E18:G18"/>
    <mergeCell ref="E19:G19"/>
    <mergeCell ref="E20:G20"/>
    <mergeCell ref="F9:G9"/>
    <mergeCell ref="F10:G10"/>
    <mergeCell ref="B11:D11"/>
    <mergeCell ref="F11:H11"/>
    <mergeCell ref="E16:G16"/>
    <mergeCell ref="D1:H1"/>
    <mergeCell ref="D2:H2"/>
    <mergeCell ref="D3:H3"/>
    <mergeCell ref="A5:H5"/>
    <mergeCell ref="A7:H7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H105"/>
  <sheetViews>
    <sheetView view="pageBreakPreview" topLeftCell="A100" zoomScaleNormal="100" zoomScaleSheetLayoutView="100" workbookViewId="0">
      <selection activeCell="A6" sqref="A6"/>
    </sheetView>
  </sheetViews>
  <sheetFormatPr defaultColWidth="9" defaultRowHeight="12.75"/>
  <cols>
    <col min="1" max="2" width="13.28515625" customWidth="1"/>
    <col min="3" max="3" width="15.5703125" customWidth="1"/>
    <col min="4" max="4" width="93.42578125" customWidth="1"/>
    <col min="5" max="5" width="17.28515625" customWidth="1"/>
    <col min="6" max="6" width="19.7109375" customWidth="1"/>
    <col min="7" max="7" width="16.42578125" customWidth="1"/>
    <col min="8" max="8" width="11.5703125" customWidth="1"/>
    <col min="12" max="12" width="12.85546875"/>
  </cols>
  <sheetData>
    <row r="1" spans="1:8">
      <c r="A1" s="119"/>
      <c r="B1" s="120"/>
      <c r="C1" s="503" t="s">
        <v>542</v>
      </c>
      <c r="D1" s="504"/>
      <c r="E1" s="504"/>
      <c r="F1" s="504"/>
      <c r="G1" s="504"/>
      <c r="H1" s="121"/>
    </row>
    <row r="2" spans="1:8">
      <c r="A2" s="122"/>
      <c r="B2" s="4"/>
      <c r="C2" s="483" t="s">
        <v>367</v>
      </c>
      <c r="D2" s="484"/>
      <c r="E2" s="484"/>
      <c r="F2" s="484"/>
      <c r="G2" s="484"/>
      <c r="H2" s="123"/>
    </row>
    <row r="3" spans="1:8">
      <c r="A3" s="122"/>
      <c r="B3" s="4"/>
      <c r="C3" s="483" t="s">
        <v>368</v>
      </c>
      <c r="D3" s="484"/>
      <c r="E3" s="484"/>
      <c r="F3" s="484"/>
      <c r="G3" s="484"/>
      <c r="H3" s="123"/>
    </row>
    <row r="4" spans="1:8">
      <c r="A4" s="122"/>
      <c r="B4" s="4"/>
      <c r="C4" s="4"/>
      <c r="D4" s="4"/>
      <c r="E4" s="4"/>
      <c r="F4" s="4"/>
      <c r="G4" s="4"/>
      <c r="H4" s="123"/>
    </row>
    <row r="5" spans="1:8" ht="15.75">
      <c r="A5" s="505" t="s">
        <v>543</v>
      </c>
      <c r="B5" s="487"/>
      <c r="C5" s="487"/>
      <c r="D5" s="487"/>
      <c r="E5" s="487"/>
      <c r="F5" s="487"/>
      <c r="G5" s="487"/>
      <c r="H5" s="123"/>
    </row>
    <row r="6" spans="1:8" ht="15.75">
      <c r="A6" s="124"/>
      <c r="B6" s="7"/>
      <c r="C6" s="7"/>
      <c r="D6" s="7"/>
      <c r="E6" s="7"/>
      <c r="F6" s="7"/>
      <c r="G6" s="7"/>
      <c r="H6" s="123"/>
    </row>
    <row r="7" spans="1:8" ht="39.950000000000003" customHeight="1">
      <c r="A7" s="506" t="str">
        <f>'Planilha - LIVRAMENTO'!A5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397"/>
      <c r="C7" s="397"/>
      <c r="D7" s="397"/>
      <c r="E7" s="397"/>
      <c r="F7" s="397"/>
      <c r="G7" s="397"/>
      <c r="H7" s="507"/>
    </row>
    <row r="8" spans="1:8" ht="15.75">
      <c r="A8" s="124"/>
      <c r="B8" s="7"/>
      <c r="C8" s="7"/>
      <c r="D8" s="7"/>
      <c r="E8" s="7"/>
      <c r="F8" s="7"/>
      <c r="G8" s="7"/>
      <c r="H8" s="123"/>
    </row>
    <row r="9" spans="1:8" ht="21.95" customHeight="1">
      <c r="A9" s="122"/>
      <c r="B9" s="4"/>
      <c r="C9" s="4"/>
      <c r="D9" s="4"/>
      <c r="E9" s="495" t="s">
        <v>321</v>
      </c>
      <c r="F9" s="495"/>
      <c r="G9" s="508">
        <f>BDI!D36</f>
        <v>0.21378112315270936</v>
      </c>
      <c r="H9" s="509"/>
    </row>
    <row r="10" spans="1:8" ht="21.95" customHeight="1">
      <c r="A10" s="122"/>
      <c r="B10" s="4"/>
      <c r="C10" s="4"/>
      <c r="D10" s="4"/>
      <c r="E10" s="495" t="s">
        <v>322</v>
      </c>
      <c r="F10" s="495"/>
      <c r="G10" s="508">
        <f>'ENC SOCIAIS'!F52</f>
        <v>1.1446999999999998</v>
      </c>
      <c r="H10" s="509"/>
    </row>
    <row r="11" spans="1:8" ht="21.95" customHeight="1">
      <c r="A11" s="125" t="s">
        <v>8</v>
      </c>
      <c r="B11" s="398" t="s">
        <v>9</v>
      </c>
      <c r="C11" s="398"/>
      <c r="D11" s="398"/>
      <c r="E11" s="510" t="s">
        <v>470</v>
      </c>
      <c r="F11" s="510"/>
      <c r="G11" s="510"/>
      <c r="H11" s="511"/>
    </row>
    <row r="12" spans="1:8" ht="15" customHeight="1">
      <c r="A12" s="122"/>
      <c r="B12" s="4"/>
      <c r="C12" s="4"/>
      <c r="D12" s="4"/>
      <c r="E12" s="4"/>
      <c r="F12" s="4"/>
      <c r="G12" s="5"/>
      <c r="H12" s="123"/>
    </row>
    <row r="13" spans="1:8">
      <c r="A13" s="522" t="s">
        <v>101</v>
      </c>
      <c r="B13" s="516" t="s">
        <v>22</v>
      </c>
      <c r="C13" s="516" t="s">
        <v>369</v>
      </c>
      <c r="D13" s="524" t="s">
        <v>370</v>
      </c>
      <c r="E13" s="516" t="s">
        <v>371</v>
      </c>
      <c r="F13" s="518" t="s">
        <v>372</v>
      </c>
      <c r="G13" s="518" t="s">
        <v>373</v>
      </c>
      <c r="H13" s="527" t="s">
        <v>327</v>
      </c>
    </row>
    <row r="14" spans="1:8">
      <c r="A14" s="523"/>
      <c r="B14" s="517"/>
      <c r="C14" s="517"/>
      <c r="D14" s="525"/>
      <c r="E14" s="517"/>
      <c r="F14" s="519"/>
      <c r="G14" s="519"/>
      <c r="H14" s="528"/>
    </row>
    <row r="15" spans="1:8">
      <c r="A15" s="126" t="s">
        <v>346</v>
      </c>
      <c r="B15" s="12" t="s">
        <v>27</v>
      </c>
      <c r="C15" s="12">
        <v>370</v>
      </c>
      <c r="D15" s="13" t="s">
        <v>374</v>
      </c>
      <c r="E15" s="14" t="s">
        <v>171</v>
      </c>
      <c r="F15" s="15" t="s">
        <v>375</v>
      </c>
      <c r="G15" s="15">
        <v>100</v>
      </c>
      <c r="H15" s="127">
        <f>F15*G15</f>
        <v>5.6800000000000006</v>
      </c>
    </row>
    <row r="16" spans="1:8" ht="22.5">
      <c r="A16" s="126" t="s">
        <v>346</v>
      </c>
      <c r="B16" s="12" t="s">
        <v>27</v>
      </c>
      <c r="C16" s="12">
        <v>711</v>
      </c>
      <c r="D16" s="13" t="s">
        <v>376</v>
      </c>
      <c r="E16" s="14" t="s">
        <v>50</v>
      </c>
      <c r="F16" s="15" t="s">
        <v>377</v>
      </c>
      <c r="G16" s="360">
        <v>38.270000000000003</v>
      </c>
      <c r="H16" s="127">
        <f t="shared" ref="H16:H22" si="0">F16*G16</f>
        <v>38.935898000000009</v>
      </c>
    </row>
    <row r="17" spans="1:8">
      <c r="A17" s="126" t="s">
        <v>346</v>
      </c>
      <c r="B17" s="12" t="s">
        <v>27</v>
      </c>
      <c r="C17" s="12">
        <v>4741</v>
      </c>
      <c r="D17" s="13" t="s">
        <v>378</v>
      </c>
      <c r="E17" s="14" t="s">
        <v>171</v>
      </c>
      <c r="F17" s="15" t="s">
        <v>379</v>
      </c>
      <c r="G17" s="360">
        <v>65.790000000000006</v>
      </c>
      <c r="H17" s="127">
        <f t="shared" si="0"/>
        <v>0.42105600000000004</v>
      </c>
    </row>
    <row r="18" spans="1:8">
      <c r="A18" s="128" t="s">
        <v>355</v>
      </c>
      <c r="B18" s="12" t="s">
        <v>27</v>
      </c>
      <c r="C18" s="12">
        <v>88260</v>
      </c>
      <c r="D18" s="13" t="s">
        <v>380</v>
      </c>
      <c r="E18" s="14" t="s">
        <v>331</v>
      </c>
      <c r="F18" s="15" t="s">
        <v>381</v>
      </c>
      <c r="G18" s="360">
        <v>27.29</v>
      </c>
      <c r="H18" s="127">
        <f t="shared" si="0"/>
        <v>5.0568369999999998</v>
      </c>
    </row>
    <row r="19" spans="1:8">
      <c r="A19" s="128" t="s">
        <v>355</v>
      </c>
      <c r="B19" s="12" t="s">
        <v>27</v>
      </c>
      <c r="C19" s="12">
        <v>88316</v>
      </c>
      <c r="D19" s="13" t="s">
        <v>359</v>
      </c>
      <c r="E19" s="14" t="s">
        <v>331</v>
      </c>
      <c r="F19" s="15" t="s">
        <v>381</v>
      </c>
      <c r="G19" s="360">
        <v>18.79</v>
      </c>
      <c r="H19" s="127">
        <f t="shared" si="0"/>
        <v>3.4817869999999997</v>
      </c>
    </row>
    <row r="20" spans="1:8" ht="22.5">
      <c r="A20" s="128" t="s">
        <v>355</v>
      </c>
      <c r="B20" s="12" t="s">
        <v>31</v>
      </c>
      <c r="C20" s="12">
        <v>11450</v>
      </c>
      <c r="D20" s="13" t="s">
        <v>382</v>
      </c>
      <c r="E20" s="14" t="s">
        <v>172</v>
      </c>
      <c r="F20" s="15">
        <v>1</v>
      </c>
      <c r="G20" s="360">
        <v>1.77</v>
      </c>
      <c r="H20" s="127">
        <f t="shared" si="0"/>
        <v>1.77</v>
      </c>
    </row>
    <row r="21" spans="1:8" ht="33.75">
      <c r="A21" s="128" t="s">
        <v>355</v>
      </c>
      <c r="B21" s="12" t="s">
        <v>27</v>
      </c>
      <c r="C21" s="12" t="s">
        <v>383</v>
      </c>
      <c r="D21" s="13" t="s">
        <v>384</v>
      </c>
      <c r="E21" s="14" t="s">
        <v>338</v>
      </c>
      <c r="F21" s="15">
        <v>1.35E-2</v>
      </c>
      <c r="G21" s="15">
        <v>23.12</v>
      </c>
      <c r="H21" s="127">
        <f t="shared" si="0"/>
        <v>0.31212000000000001</v>
      </c>
    </row>
    <row r="22" spans="1:8" ht="33.75">
      <c r="A22" s="128" t="s">
        <v>355</v>
      </c>
      <c r="B22" s="12" t="s">
        <v>27</v>
      </c>
      <c r="C22" s="12">
        <v>91285</v>
      </c>
      <c r="D22" s="13" t="s">
        <v>384</v>
      </c>
      <c r="E22" s="14" t="s">
        <v>338</v>
      </c>
      <c r="F22" s="15">
        <v>7.9200000000000007E-2</v>
      </c>
      <c r="G22" s="15">
        <v>0.84</v>
      </c>
      <c r="H22" s="127">
        <f t="shared" si="0"/>
        <v>6.6528000000000004E-2</v>
      </c>
    </row>
    <row r="23" spans="1:8">
      <c r="A23" s="129"/>
      <c r="B23" s="16"/>
      <c r="C23" s="16"/>
      <c r="D23" s="16"/>
      <c r="E23" s="512" t="s">
        <v>332</v>
      </c>
      <c r="F23" s="512"/>
      <c r="G23" s="513"/>
      <c r="H23" s="130">
        <f>SUM(H15:H22)</f>
        <v>55.724226000000009</v>
      </c>
    </row>
    <row r="24" spans="1:8">
      <c r="A24" s="131"/>
      <c r="B24" s="17"/>
      <c r="C24" s="17"/>
      <c r="D24" s="17"/>
      <c r="E24" s="18"/>
      <c r="F24" s="19" t="s">
        <v>385</v>
      </c>
      <c r="G24" s="20">
        <f>$G$9</f>
        <v>0.21378112315270936</v>
      </c>
      <c r="H24" s="132">
        <f>ROUND(H23*$G$24,2)</f>
        <v>11.91</v>
      </c>
    </row>
    <row r="25" spans="1:8">
      <c r="A25" s="133"/>
      <c r="B25" s="21"/>
      <c r="C25" s="21"/>
      <c r="D25" s="21"/>
      <c r="E25" s="22"/>
      <c r="F25" s="22"/>
      <c r="G25" s="23" t="s">
        <v>386</v>
      </c>
      <c r="H25" s="134">
        <f>H23+H24</f>
        <v>67.634226000000012</v>
      </c>
    </row>
    <row r="26" spans="1:8">
      <c r="A26" s="135"/>
      <c r="B26" s="24"/>
      <c r="C26" s="24"/>
      <c r="D26" s="24"/>
      <c r="E26" s="25" t="str">
        <f>A13</f>
        <v>CPU-05</v>
      </c>
      <c r="F26" s="514" t="s">
        <v>334</v>
      </c>
      <c r="G26" s="515"/>
      <c r="H26" s="136">
        <f>H25</f>
        <v>67.634226000000012</v>
      </c>
    </row>
    <row r="27" spans="1:8">
      <c r="A27" s="122"/>
      <c r="H27" s="123"/>
    </row>
    <row r="28" spans="1:8">
      <c r="A28" s="522" t="s">
        <v>104</v>
      </c>
      <c r="B28" s="516" t="s">
        <v>22</v>
      </c>
      <c r="C28" s="516" t="s">
        <v>387</v>
      </c>
      <c r="D28" s="526" t="s">
        <v>388</v>
      </c>
      <c r="E28" s="516" t="s">
        <v>371</v>
      </c>
      <c r="F28" s="518" t="s">
        <v>372</v>
      </c>
      <c r="G28" s="518" t="s">
        <v>373</v>
      </c>
      <c r="H28" s="527" t="s">
        <v>327</v>
      </c>
    </row>
    <row r="29" spans="1:8" ht="24" customHeight="1">
      <c r="A29" s="523"/>
      <c r="B29" s="517"/>
      <c r="C29" s="517"/>
      <c r="D29" s="525"/>
      <c r="E29" s="517"/>
      <c r="F29" s="519"/>
      <c r="G29" s="519"/>
      <c r="H29" s="528"/>
    </row>
    <row r="30" spans="1:8">
      <c r="A30" s="126" t="s">
        <v>346</v>
      </c>
      <c r="B30" s="14" t="s">
        <v>27</v>
      </c>
      <c r="C30" s="14">
        <v>370</v>
      </c>
      <c r="D30" s="26" t="s">
        <v>374</v>
      </c>
      <c r="E30" s="14" t="s">
        <v>171</v>
      </c>
      <c r="F30" s="15" t="s">
        <v>375</v>
      </c>
      <c r="G30" s="15">
        <v>100</v>
      </c>
      <c r="H30" s="127">
        <f>F30*G30</f>
        <v>5.6800000000000006</v>
      </c>
    </row>
    <row r="31" spans="1:8" ht="33.75">
      <c r="A31" s="126" t="s">
        <v>346</v>
      </c>
      <c r="B31" s="14" t="s">
        <v>27</v>
      </c>
      <c r="C31" s="14">
        <v>36156</v>
      </c>
      <c r="D31" s="26" t="s">
        <v>389</v>
      </c>
      <c r="E31" s="14" t="s">
        <v>50</v>
      </c>
      <c r="F31" s="15">
        <v>1.0487</v>
      </c>
      <c r="G31" s="360">
        <v>44.01</v>
      </c>
      <c r="H31" s="127">
        <f t="shared" ref="H31:H37" si="1">F31*G31</f>
        <v>46.153286999999999</v>
      </c>
    </row>
    <row r="32" spans="1:8">
      <c r="A32" s="126" t="s">
        <v>346</v>
      </c>
      <c r="B32" s="14" t="s">
        <v>27</v>
      </c>
      <c r="C32" s="14">
        <v>4741</v>
      </c>
      <c r="D32" s="26" t="s">
        <v>378</v>
      </c>
      <c r="E32" s="14" t="s">
        <v>171</v>
      </c>
      <c r="F32" s="15">
        <v>6.4999999999999997E-3</v>
      </c>
      <c r="G32" s="360">
        <v>65.790000000000006</v>
      </c>
      <c r="H32" s="127">
        <f t="shared" si="1"/>
        <v>0.42763500000000004</v>
      </c>
    </row>
    <row r="33" spans="1:8">
      <c r="A33" s="128" t="s">
        <v>355</v>
      </c>
      <c r="B33" s="14" t="s">
        <v>27</v>
      </c>
      <c r="C33" s="14">
        <v>88260</v>
      </c>
      <c r="D33" s="26" t="s">
        <v>380</v>
      </c>
      <c r="E33" s="14" t="s">
        <v>331</v>
      </c>
      <c r="F33" s="15">
        <v>0.39750000000000002</v>
      </c>
      <c r="G33" s="360">
        <v>27.29</v>
      </c>
      <c r="H33" s="127">
        <f t="shared" si="1"/>
        <v>10.847775</v>
      </c>
    </row>
    <row r="34" spans="1:8">
      <c r="A34" s="128" t="s">
        <v>355</v>
      </c>
      <c r="B34" s="14" t="s">
        <v>27</v>
      </c>
      <c r="C34" s="14">
        <v>88316</v>
      </c>
      <c r="D34" s="26" t="s">
        <v>359</v>
      </c>
      <c r="E34" s="14" t="s">
        <v>331</v>
      </c>
      <c r="F34" s="15">
        <v>0.39750000000000002</v>
      </c>
      <c r="G34" s="360">
        <v>18.79</v>
      </c>
      <c r="H34" s="127">
        <f t="shared" si="1"/>
        <v>7.4690250000000002</v>
      </c>
    </row>
    <row r="35" spans="1:8" ht="22.5">
      <c r="A35" s="128" t="s">
        <v>355</v>
      </c>
      <c r="B35" s="14" t="s">
        <v>31</v>
      </c>
      <c r="C35" s="14">
        <v>11450</v>
      </c>
      <c r="D35" s="26" t="s">
        <v>382</v>
      </c>
      <c r="E35" s="14" t="s">
        <v>172</v>
      </c>
      <c r="F35" s="15">
        <v>1</v>
      </c>
      <c r="G35" s="360">
        <v>1.77</v>
      </c>
      <c r="H35" s="127">
        <f t="shared" si="1"/>
        <v>1.77</v>
      </c>
    </row>
    <row r="36" spans="1:8" ht="33.75">
      <c r="A36" s="128" t="s">
        <v>355</v>
      </c>
      <c r="B36" s="14" t="s">
        <v>27</v>
      </c>
      <c r="C36" s="14" t="s">
        <v>383</v>
      </c>
      <c r="D36" s="26" t="s">
        <v>384</v>
      </c>
      <c r="E36" s="14" t="s">
        <v>338</v>
      </c>
      <c r="F36" s="15">
        <v>4.8300000000000003E-2</v>
      </c>
      <c r="G36" s="15">
        <v>23.12</v>
      </c>
      <c r="H36" s="127">
        <f t="shared" si="1"/>
        <v>1.1166960000000001</v>
      </c>
    </row>
    <row r="37" spans="1:8" ht="33.75">
      <c r="A37" s="128" t="s">
        <v>355</v>
      </c>
      <c r="B37" s="14" t="s">
        <v>27</v>
      </c>
      <c r="C37" s="14">
        <v>91285</v>
      </c>
      <c r="D37" s="26" t="s">
        <v>384</v>
      </c>
      <c r="E37" s="14" t="s">
        <v>390</v>
      </c>
      <c r="F37" s="15">
        <v>0.15040000000000001</v>
      </c>
      <c r="G37" s="15">
        <v>0.84</v>
      </c>
      <c r="H37" s="127">
        <f t="shared" si="1"/>
        <v>0.126336</v>
      </c>
    </row>
    <row r="38" spans="1:8">
      <c r="A38" s="129"/>
      <c r="B38" s="16"/>
      <c r="C38" s="16"/>
      <c r="D38" s="16"/>
      <c r="E38" s="512" t="s">
        <v>332</v>
      </c>
      <c r="F38" s="512"/>
      <c r="G38" s="513"/>
      <c r="H38" s="130">
        <f>SUM(H30:H37)</f>
        <v>73.59075399999999</v>
      </c>
    </row>
    <row r="39" spans="1:8">
      <c r="A39" s="131"/>
      <c r="B39" s="17"/>
      <c r="C39" s="17"/>
      <c r="D39" s="17"/>
      <c r="E39" s="18"/>
      <c r="F39" s="19" t="s">
        <v>385</v>
      </c>
      <c r="G39" s="20">
        <f>$G$9</f>
        <v>0.21378112315270936</v>
      </c>
      <c r="H39" s="132">
        <f>ROUND(H38*$G$24,2)</f>
        <v>15.73</v>
      </c>
    </row>
    <row r="40" spans="1:8">
      <c r="A40" s="133"/>
      <c r="B40" s="21"/>
      <c r="C40" s="21"/>
      <c r="D40" s="21"/>
      <c r="E40" s="22"/>
      <c r="F40" s="22"/>
      <c r="G40" s="23" t="s">
        <v>386</v>
      </c>
      <c r="H40" s="134">
        <f>H38+H39</f>
        <v>89.320753999999994</v>
      </c>
    </row>
    <row r="41" spans="1:8">
      <c r="A41" s="135"/>
      <c r="B41" s="24"/>
      <c r="C41" s="24"/>
      <c r="D41" s="24"/>
      <c r="E41" s="25" t="str">
        <f>A28</f>
        <v>CPU-06</v>
      </c>
      <c r="F41" s="514" t="s">
        <v>334</v>
      </c>
      <c r="G41" s="515"/>
      <c r="H41" s="136">
        <f>H40</f>
        <v>89.320753999999994</v>
      </c>
    </row>
    <row r="42" spans="1:8">
      <c r="A42" s="122"/>
      <c r="H42" s="123"/>
    </row>
    <row r="43" spans="1:8">
      <c r="A43" s="522" t="s">
        <v>138</v>
      </c>
      <c r="B43" s="516" t="s">
        <v>22</v>
      </c>
      <c r="C43" s="516" t="s">
        <v>391</v>
      </c>
      <c r="D43" s="526" t="s">
        <v>392</v>
      </c>
      <c r="E43" s="516" t="s">
        <v>371</v>
      </c>
      <c r="F43" s="518" t="s">
        <v>372</v>
      </c>
      <c r="G43" s="518" t="s">
        <v>373</v>
      </c>
      <c r="H43" s="527" t="s">
        <v>327</v>
      </c>
    </row>
    <row r="44" spans="1:8">
      <c r="A44" s="523"/>
      <c r="B44" s="517"/>
      <c r="C44" s="517"/>
      <c r="D44" s="525" t="s">
        <v>392</v>
      </c>
      <c r="E44" s="517"/>
      <c r="F44" s="519"/>
      <c r="G44" s="519"/>
      <c r="H44" s="528"/>
    </row>
    <row r="45" spans="1:8">
      <c r="A45" s="126" t="s">
        <v>355</v>
      </c>
      <c r="B45" s="14" t="s">
        <v>27</v>
      </c>
      <c r="C45" s="14">
        <v>88264</v>
      </c>
      <c r="D45" s="26" t="s">
        <v>393</v>
      </c>
      <c r="E45" s="14" t="s">
        <v>331</v>
      </c>
      <c r="F45" s="15">
        <v>1.5</v>
      </c>
      <c r="G45" s="360">
        <v>26.92</v>
      </c>
      <c r="H45" s="127">
        <f t="shared" ref="H45:H50" si="2">F45*G45</f>
        <v>40.380000000000003</v>
      </c>
    </row>
    <row r="46" spans="1:8">
      <c r="A46" s="126" t="s">
        <v>355</v>
      </c>
      <c r="B46" s="14" t="s">
        <v>27</v>
      </c>
      <c r="C46" s="14">
        <v>88316</v>
      </c>
      <c r="D46" s="26" t="s">
        <v>394</v>
      </c>
      <c r="E46" s="14" t="s">
        <v>331</v>
      </c>
      <c r="F46" s="15">
        <v>1.5</v>
      </c>
      <c r="G46" s="360">
        <v>18.79</v>
      </c>
      <c r="H46" s="127">
        <f t="shared" si="2"/>
        <v>28.184999999999999</v>
      </c>
    </row>
    <row r="47" spans="1:8">
      <c r="A47" s="126" t="s">
        <v>346</v>
      </c>
      <c r="B47" s="14" t="s">
        <v>27</v>
      </c>
      <c r="C47" s="14">
        <v>3750</v>
      </c>
      <c r="D47" s="26" t="s">
        <v>395</v>
      </c>
      <c r="E47" s="14" t="s">
        <v>371</v>
      </c>
      <c r="F47" s="15">
        <v>2</v>
      </c>
      <c r="G47" s="360">
        <v>35.99</v>
      </c>
      <c r="H47" s="127">
        <f t="shared" si="2"/>
        <v>71.98</v>
      </c>
    </row>
    <row r="48" spans="1:8">
      <c r="A48" s="126" t="s">
        <v>346</v>
      </c>
      <c r="B48" s="14" t="s">
        <v>27</v>
      </c>
      <c r="C48" s="14">
        <v>11975</v>
      </c>
      <c r="D48" s="26" t="s">
        <v>396</v>
      </c>
      <c r="E48" s="14" t="s">
        <v>371</v>
      </c>
      <c r="F48" s="15">
        <v>4</v>
      </c>
      <c r="G48" s="360">
        <v>26.5</v>
      </c>
      <c r="H48" s="127">
        <f t="shared" si="2"/>
        <v>106</v>
      </c>
    </row>
    <row r="49" spans="1:8" ht="22.5">
      <c r="A49" s="126" t="s">
        <v>346</v>
      </c>
      <c r="B49" s="14" t="s">
        <v>31</v>
      </c>
      <c r="C49" s="14">
        <v>9495</v>
      </c>
      <c r="D49" s="26" t="s">
        <v>397</v>
      </c>
      <c r="E49" s="14" t="s">
        <v>371</v>
      </c>
      <c r="F49" s="15">
        <v>1</v>
      </c>
      <c r="G49" s="15">
        <v>398.31</v>
      </c>
      <c r="H49" s="127">
        <f t="shared" si="2"/>
        <v>398.31</v>
      </c>
    </row>
    <row r="50" spans="1:8" ht="22.5">
      <c r="A50" s="126" t="s">
        <v>346</v>
      </c>
      <c r="B50" s="14" t="s">
        <v>31</v>
      </c>
      <c r="C50" s="14">
        <v>9494</v>
      </c>
      <c r="D50" s="26" t="s">
        <v>398</v>
      </c>
      <c r="E50" s="14" t="s">
        <v>371</v>
      </c>
      <c r="F50" s="15">
        <v>2</v>
      </c>
      <c r="G50" s="15">
        <v>726.55</v>
      </c>
      <c r="H50" s="127">
        <f t="shared" si="2"/>
        <v>1453.1</v>
      </c>
    </row>
    <row r="51" spans="1:8">
      <c r="A51" s="129"/>
      <c r="B51" s="16"/>
      <c r="C51" s="16"/>
      <c r="D51" s="16"/>
      <c r="E51" s="512" t="s">
        <v>332</v>
      </c>
      <c r="F51" s="512"/>
      <c r="G51" s="513"/>
      <c r="H51" s="130">
        <f>SUM(H45:H50)</f>
        <v>2097.9549999999999</v>
      </c>
    </row>
    <row r="52" spans="1:8">
      <c r="A52" s="131"/>
      <c r="B52" s="17"/>
      <c r="C52" s="17"/>
      <c r="D52" s="17"/>
      <c r="E52" s="18"/>
      <c r="F52" s="19" t="s">
        <v>385</v>
      </c>
      <c r="G52" s="20">
        <f>$G$9</f>
        <v>0.21378112315270936</v>
      </c>
      <c r="H52" s="132">
        <f>ROUND(H51*$G$24,2)</f>
        <v>448.5</v>
      </c>
    </row>
    <row r="53" spans="1:8">
      <c r="A53" s="133"/>
      <c r="B53" s="21"/>
      <c r="C53" s="21"/>
      <c r="D53" s="21"/>
      <c r="E53" s="22"/>
      <c r="F53" s="22"/>
      <c r="G53" s="23" t="s">
        <v>386</v>
      </c>
      <c r="H53" s="134">
        <f>H51+H52</f>
        <v>2546.4549999999999</v>
      </c>
    </row>
    <row r="54" spans="1:8">
      <c r="A54" s="135"/>
      <c r="B54" s="24"/>
      <c r="C54" s="24"/>
      <c r="D54" s="24"/>
      <c r="E54" s="25" t="str">
        <f>A43</f>
        <v>CPU-07</v>
      </c>
      <c r="F54" s="514" t="s">
        <v>334</v>
      </c>
      <c r="G54" s="515"/>
      <c r="H54" s="136">
        <f>H53</f>
        <v>2546.4549999999999</v>
      </c>
    </row>
    <row r="55" spans="1:8">
      <c r="A55" s="122"/>
      <c r="H55" s="123"/>
    </row>
    <row r="56" spans="1:8">
      <c r="A56" s="122"/>
      <c r="H56" s="123"/>
    </row>
    <row r="57" spans="1:8">
      <c r="A57" s="522" t="s">
        <v>162</v>
      </c>
      <c r="B57" s="516" t="s">
        <v>22</v>
      </c>
      <c r="C57" s="516" t="s">
        <v>387</v>
      </c>
      <c r="D57" s="526" t="s">
        <v>163</v>
      </c>
      <c r="E57" s="516" t="s">
        <v>371</v>
      </c>
      <c r="F57" s="518" t="s">
        <v>372</v>
      </c>
      <c r="G57" s="518" t="s">
        <v>373</v>
      </c>
      <c r="H57" s="527" t="s">
        <v>327</v>
      </c>
    </row>
    <row r="58" spans="1:8">
      <c r="A58" s="523"/>
      <c r="B58" s="517"/>
      <c r="C58" s="517"/>
      <c r="D58" s="525"/>
      <c r="E58" s="517"/>
      <c r="F58" s="519"/>
      <c r="G58" s="519"/>
      <c r="H58" s="528"/>
    </row>
    <row r="59" spans="1:8">
      <c r="A59" s="128" t="s">
        <v>355</v>
      </c>
      <c r="B59" s="14" t="s">
        <v>400</v>
      </c>
      <c r="C59" s="14">
        <v>93358</v>
      </c>
      <c r="D59" s="26" t="s">
        <v>404</v>
      </c>
      <c r="E59" s="14" t="s">
        <v>119</v>
      </c>
      <c r="F59" s="15">
        <v>1.6E-2</v>
      </c>
      <c r="G59" s="15">
        <v>74.33</v>
      </c>
      <c r="H59" s="127">
        <f>F59*G59</f>
        <v>1.1892799999999999</v>
      </c>
    </row>
    <row r="60" spans="1:8" ht="22.5">
      <c r="A60" s="128" t="s">
        <v>355</v>
      </c>
      <c r="B60" s="14" t="s">
        <v>400</v>
      </c>
      <c r="C60" s="14">
        <v>94964</v>
      </c>
      <c r="D60" s="26" t="s">
        <v>401</v>
      </c>
      <c r="E60" s="14" t="s">
        <v>119</v>
      </c>
      <c r="F60" s="15">
        <v>1.6E-2</v>
      </c>
      <c r="G60" s="15">
        <v>449.17</v>
      </c>
      <c r="H60" s="127">
        <f>F60*G60</f>
        <v>7.1867200000000002</v>
      </c>
    </row>
    <row r="61" spans="1:8">
      <c r="A61" s="126" t="s">
        <v>346</v>
      </c>
      <c r="B61" s="14" t="s">
        <v>31</v>
      </c>
      <c r="C61" s="14" t="s">
        <v>405</v>
      </c>
      <c r="D61" s="26" t="s">
        <v>406</v>
      </c>
      <c r="E61" s="14" t="s">
        <v>14</v>
      </c>
      <c r="F61" s="15">
        <v>1</v>
      </c>
      <c r="G61" s="15">
        <v>550</v>
      </c>
      <c r="H61" s="127">
        <f>F61*G61</f>
        <v>550</v>
      </c>
    </row>
    <row r="62" spans="1:8">
      <c r="A62" s="129"/>
      <c r="B62" s="16"/>
      <c r="C62" s="16"/>
      <c r="D62" s="16"/>
      <c r="E62" s="512" t="s">
        <v>332</v>
      </c>
      <c r="F62" s="512"/>
      <c r="G62" s="513"/>
      <c r="H62" s="130">
        <f>SUM(H59:H61)</f>
        <v>558.37599999999998</v>
      </c>
    </row>
    <row r="63" spans="1:8">
      <c r="A63" s="131"/>
      <c r="B63" s="17"/>
      <c r="C63" s="17"/>
      <c r="D63" s="17"/>
      <c r="E63" s="18"/>
      <c r="F63" s="19" t="s">
        <v>385</v>
      </c>
      <c r="G63" s="20">
        <f>$G$9</f>
        <v>0.21378112315270936</v>
      </c>
      <c r="H63" s="132">
        <f>ROUND(H62*$G$24,2)</f>
        <v>119.37</v>
      </c>
    </row>
    <row r="64" spans="1:8">
      <c r="A64" s="133"/>
      <c r="B64" s="21"/>
      <c r="C64" s="21"/>
      <c r="D64" s="21"/>
      <c r="E64" s="22"/>
      <c r="F64" s="22"/>
      <c r="G64" s="23" t="s">
        <v>386</v>
      </c>
      <c r="H64" s="134">
        <f>H62+H63</f>
        <v>677.74599999999998</v>
      </c>
    </row>
    <row r="65" spans="1:8">
      <c r="A65" s="135"/>
      <c r="B65" s="24"/>
      <c r="C65" s="24"/>
      <c r="D65" s="24"/>
      <c r="E65" s="25" t="str">
        <f>A57</f>
        <v>CPU-15</v>
      </c>
      <c r="F65" s="514" t="s">
        <v>334</v>
      </c>
      <c r="G65" s="515"/>
      <c r="H65" s="136">
        <f>H64</f>
        <v>677.74599999999998</v>
      </c>
    </row>
    <row r="66" spans="1:8">
      <c r="A66" s="122"/>
      <c r="H66" s="123"/>
    </row>
    <row r="67" spans="1:8">
      <c r="A67" s="522" t="s">
        <v>159</v>
      </c>
      <c r="B67" s="516" t="s">
        <v>22</v>
      </c>
      <c r="C67" s="516"/>
      <c r="D67" s="526" t="s">
        <v>407</v>
      </c>
      <c r="E67" s="516" t="s">
        <v>371</v>
      </c>
      <c r="F67" s="518" t="s">
        <v>372</v>
      </c>
      <c r="G67" s="518" t="s">
        <v>373</v>
      </c>
      <c r="H67" s="527" t="s">
        <v>327</v>
      </c>
    </row>
    <row r="68" spans="1:8">
      <c r="A68" s="523"/>
      <c r="B68" s="517"/>
      <c r="C68" s="517"/>
      <c r="D68" s="525" t="s">
        <v>392</v>
      </c>
      <c r="E68" s="517"/>
      <c r="F68" s="519"/>
      <c r="G68" s="519"/>
      <c r="H68" s="528"/>
    </row>
    <row r="69" spans="1:8">
      <c r="A69" s="126" t="s">
        <v>355</v>
      </c>
      <c r="B69" s="14" t="s">
        <v>31</v>
      </c>
      <c r="C69" s="14">
        <v>88262</v>
      </c>
      <c r="D69" s="26" t="s">
        <v>358</v>
      </c>
      <c r="E69" s="14" t="s">
        <v>331</v>
      </c>
      <c r="F69" s="15">
        <v>0.5</v>
      </c>
      <c r="G69" s="360">
        <v>26.39</v>
      </c>
      <c r="H69" s="127">
        <f t="shared" ref="H69:H76" si="3">F69*G69</f>
        <v>13.195</v>
      </c>
    </row>
    <row r="70" spans="1:8">
      <c r="A70" s="126" t="s">
        <v>355</v>
      </c>
      <c r="B70" s="14" t="s">
        <v>31</v>
      </c>
      <c r="C70" s="14">
        <v>88239</v>
      </c>
      <c r="D70" s="26" t="s">
        <v>399</v>
      </c>
      <c r="E70" s="14" t="s">
        <v>331</v>
      </c>
      <c r="F70" s="15">
        <v>0.5</v>
      </c>
      <c r="G70" s="360">
        <v>22.42</v>
      </c>
      <c r="H70" s="127">
        <f t="shared" si="3"/>
        <v>11.21</v>
      </c>
    </row>
    <row r="71" spans="1:8">
      <c r="A71" s="126" t="s">
        <v>346</v>
      </c>
      <c r="B71" s="14" t="s">
        <v>31</v>
      </c>
      <c r="C71" s="14">
        <v>1685</v>
      </c>
      <c r="D71" s="26" t="s">
        <v>408</v>
      </c>
      <c r="E71" s="14" t="s">
        <v>14</v>
      </c>
      <c r="F71" s="15">
        <v>12</v>
      </c>
      <c r="G71" s="360">
        <v>9.74</v>
      </c>
      <c r="H71" s="127">
        <f t="shared" si="3"/>
        <v>116.88</v>
      </c>
    </row>
    <row r="72" spans="1:8">
      <c r="A72" s="126" t="s">
        <v>355</v>
      </c>
      <c r="B72" s="14" t="s">
        <v>31</v>
      </c>
      <c r="C72" s="14">
        <v>10045</v>
      </c>
      <c r="D72" s="26" t="s">
        <v>409</v>
      </c>
      <c r="E72" s="14" t="s">
        <v>172</v>
      </c>
      <c r="F72" s="15">
        <v>0.8</v>
      </c>
      <c r="G72" s="360">
        <v>103.9</v>
      </c>
      <c r="H72" s="127">
        <f t="shared" si="3"/>
        <v>83.12</v>
      </c>
    </row>
    <row r="73" spans="1:8" ht="22.5">
      <c r="A73" s="126" t="s">
        <v>355</v>
      </c>
      <c r="B73" s="14" t="s">
        <v>400</v>
      </c>
      <c r="C73" s="14">
        <v>94964</v>
      </c>
      <c r="D73" s="26" t="s">
        <v>401</v>
      </c>
      <c r="E73" s="14" t="s">
        <v>119</v>
      </c>
      <c r="F73" s="15">
        <v>0.2</v>
      </c>
      <c r="G73" s="15">
        <v>449.17</v>
      </c>
      <c r="H73" s="127">
        <f t="shared" si="3"/>
        <v>89.834000000000003</v>
      </c>
    </row>
    <row r="74" spans="1:8">
      <c r="A74" s="126" t="s">
        <v>346</v>
      </c>
      <c r="B74" s="14" t="s">
        <v>27</v>
      </c>
      <c r="C74" s="14">
        <v>20205</v>
      </c>
      <c r="D74" s="26" t="s">
        <v>410</v>
      </c>
      <c r="E74" s="14" t="s">
        <v>142</v>
      </c>
      <c r="F74" s="15">
        <v>6</v>
      </c>
      <c r="G74" s="15">
        <v>31.79</v>
      </c>
      <c r="H74" s="127">
        <f t="shared" si="3"/>
        <v>190.74</v>
      </c>
    </row>
    <row r="75" spans="1:8">
      <c r="A75" s="126" t="s">
        <v>355</v>
      </c>
      <c r="B75" s="14" t="s">
        <v>27</v>
      </c>
      <c r="C75" s="14">
        <v>92763</v>
      </c>
      <c r="D75" s="26" t="s">
        <v>402</v>
      </c>
      <c r="E75" s="14" t="s">
        <v>173</v>
      </c>
      <c r="F75" s="15">
        <v>24</v>
      </c>
      <c r="G75" s="15">
        <v>12.44</v>
      </c>
      <c r="H75" s="127">
        <f t="shared" si="3"/>
        <v>298.56</v>
      </c>
    </row>
    <row r="76" spans="1:8">
      <c r="A76" s="126" t="s">
        <v>355</v>
      </c>
      <c r="B76" s="14" t="s">
        <v>27</v>
      </c>
      <c r="C76" s="14">
        <v>102213</v>
      </c>
      <c r="D76" s="26" t="s">
        <v>403</v>
      </c>
      <c r="E76" s="27" t="s">
        <v>42</v>
      </c>
      <c r="F76" s="15">
        <v>1.44</v>
      </c>
      <c r="G76" s="15">
        <v>18.91</v>
      </c>
      <c r="H76" s="127">
        <f t="shared" si="3"/>
        <v>27.230399999999999</v>
      </c>
    </row>
    <row r="77" spans="1:8">
      <c r="A77" s="129"/>
      <c r="B77" s="16"/>
      <c r="C77" s="16"/>
      <c r="D77" s="16"/>
      <c r="E77" s="512" t="s">
        <v>332</v>
      </c>
      <c r="F77" s="512"/>
      <c r="G77" s="513"/>
      <c r="H77" s="130">
        <f>SUM(H69:H76)</f>
        <v>830.76940000000002</v>
      </c>
    </row>
    <row r="78" spans="1:8">
      <c r="A78" s="131"/>
      <c r="B78" s="17"/>
      <c r="C78" s="17"/>
      <c r="D78" s="17"/>
      <c r="E78" s="18"/>
      <c r="F78" s="19" t="s">
        <v>385</v>
      </c>
      <c r="G78" s="20">
        <f>$G$9</f>
        <v>0.21378112315270936</v>
      </c>
      <c r="H78" s="132">
        <f>ROUND(H77*$G$24,2)</f>
        <v>177.6</v>
      </c>
    </row>
    <row r="79" spans="1:8">
      <c r="A79" s="133"/>
      <c r="B79" s="21"/>
      <c r="C79" s="21"/>
      <c r="D79" s="21"/>
      <c r="E79" s="22"/>
      <c r="F79" s="22"/>
      <c r="G79" s="23" t="s">
        <v>386</v>
      </c>
      <c r="H79" s="134">
        <f>H77+H78</f>
        <v>1008.3694</v>
      </c>
    </row>
    <row r="80" spans="1:8" ht="13.5" thickBot="1">
      <c r="A80" s="137"/>
      <c r="B80" s="138"/>
      <c r="C80" s="138"/>
      <c r="D80" s="138"/>
      <c r="E80" s="139" t="str">
        <f>A67</f>
        <v>CPU-16</v>
      </c>
      <c r="F80" s="520" t="s">
        <v>334</v>
      </c>
      <c r="G80" s="521"/>
      <c r="H80" s="140">
        <f>H79</f>
        <v>1008.3694</v>
      </c>
    </row>
    <row r="81" spans="1:8">
      <c r="A81" s="122"/>
      <c r="H81" s="123"/>
    </row>
    <row r="82" spans="1:8">
      <c r="A82" s="522" t="s">
        <v>112</v>
      </c>
      <c r="B82" s="516" t="s">
        <v>22</v>
      </c>
      <c r="C82" s="516"/>
      <c r="D82" s="526" t="s">
        <v>411</v>
      </c>
      <c r="E82" s="516" t="s">
        <v>371</v>
      </c>
      <c r="F82" s="518" t="s">
        <v>372</v>
      </c>
      <c r="G82" s="518" t="s">
        <v>373</v>
      </c>
      <c r="H82" s="527" t="s">
        <v>327</v>
      </c>
    </row>
    <row r="83" spans="1:8">
      <c r="A83" s="523"/>
      <c r="B83" s="517"/>
      <c r="C83" s="517"/>
      <c r="D83" s="525" t="s">
        <v>392</v>
      </c>
      <c r="E83" s="517"/>
      <c r="F83" s="519"/>
      <c r="G83" s="519"/>
      <c r="H83" s="528"/>
    </row>
    <row r="84" spans="1:8" ht="12.75" customHeight="1">
      <c r="A84" s="126" t="s">
        <v>355</v>
      </c>
      <c r="B84" s="14" t="s">
        <v>31</v>
      </c>
      <c r="C84" s="14">
        <v>2418</v>
      </c>
      <c r="D84" s="26" t="s">
        <v>412</v>
      </c>
      <c r="E84" s="14" t="s">
        <v>14</v>
      </c>
      <c r="F84" s="15">
        <v>1</v>
      </c>
      <c r="G84" s="15">
        <v>1690</v>
      </c>
      <c r="H84" s="127">
        <f>F84*G84</f>
        <v>1690</v>
      </c>
    </row>
    <row r="85" spans="1:8">
      <c r="A85" s="126" t="s">
        <v>355</v>
      </c>
      <c r="B85" s="14" t="s">
        <v>31</v>
      </c>
      <c r="C85" s="14">
        <v>2440</v>
      </c>
      <c r="D85" s="26" t="s">
        <v>413</v>
      </c>
      <c r="E85" s="14" t="s">
        <v>14</v>
      </c>
      <c r="F85" s="15">
        <v>1</v>
      </c>
      <c r="G85" s="15">
        <v>3990</v>
      </c>
      <c r="H85" s="127">
        <f>F85*G85</f>
        <v>3990</v>
      </c>
    </row>
    <row r="86" spans="1:8" ht="22.5">
      <c r="A86" s="126" t="s">
        <v>355</v>
      </c>
      <c r="B86" s="14" t="s">
        <v>31</v>
      </c>
      <c r="C86" s="14">
        <v>9160</v>
      </c>
      <c r="D86" s="26" t="s">
        <v>414</v>
      </c>
      <c r="E86" s="14" t="s">
        <v>14</v>
      </c>
      <c r="F86" s="15">
        <v>1</v>
      </c>
      <c r="G86" s="15">
        <v>3873.94</v>
      </c>
      <c r="H86" s="127">
        <f>F86*G86</f>
        <v>3873.94</v>
      </c>
    </row>
    <row r="87" spans="1:8">
      <c r="A87" s="126" t="s">
        <v>355</v>
      </c>
      <c r="B87" s="14" t="s">
        <v>31</v>
      </c>
      <c r="C87" s="14">
        <v>2406</v>
      </c>
      <c r="D87" s="26" t="s">
        <v>415</v>
      </c>
      <c r="E87" s="14" t="s">
        <v>14</v>
      </c>
      <c r="F87" s="15">
        <v>1</v>
      </c>
      <c r="G87" s="15">
        <v>2830</v>
      </c>
      <c r="H87" s="127">
        <f>F87*G87</f>
        <v>2830</v>
      </c>
    </row>
    <row r="88" spans="1:8">
      <c r="A88" s="129"/>
      <c r="B88" s="16"/>
      <c r="C88" s="16"/>
      <c r="D88" s="16"/>
      <c r="E88" s="512" t="s">
        <v>332</v>
      </c>
      <c r="F88" s="512"/>
      <c r="G88" s="513"/>
      <c r="H88" s="130">
        <f>SUM(H84:H87)</f>
        <v>12383.94</v>
      </c>
    </row>
    <row r="89" spans="1:8">
      <c r="A89" s="131"/>
      <c r="B89" s="17"/>
      <c r="C89" s="17"/>
      <c r="D89" s="17"/>
      <c r="E89" s="18"/>
      <c r="F89" s="19" t="s">
        <v>385</v>
      </c>
      <c r="G89" s="20">
        <f>$G$9</f>
        <v>0.21378112315270936</v>
      </c>
      <c r="H89" s="132">
        <f>ROUND(H88*$G$24,2)</f>
        <v>2647.45</v>
      </c>
    </row>
    <row r="90" spans="1:8">
      <c r="A90" s="133"/>
      <c r="B90" s="21"/>
      <c r="C90" s="21"/>
      <c r="D90" s="21"/>
      <c r="E90" s="22"/>
      <c r="F90" s="22"/>
      <c r="G90" s="23" t="s">
        <v>386</v>
      </c>
      <c r="H90" s="134">
        <f>H88+H89</f>
        <v>15031.39</v>
      </c>
    </row>
    <row r="91" spans="1:8" ht="13.5" thickBot="1">
      <c r="A91" s="137"/>
      <c r="B91" s="138"/>
      <c r="C91" s="138"/>
      <c r="D91" s="138"/>
      <c r="E91" s="139" t="str">
        <f>A82</f>
        <v>CPU-19</v>
      </c>
      <c r="F91" s="520" t="s">
        <v>334</v>
      </c>
      <c r="G91" s="521"/>
      <c r="H91" s="140">
        <f>H90</f>
        <v>15031.39</v>
      </c>
    </row>
    <row r="92" spans="1:8">
      <c r="A92" s="122"/>
      <c r="H92" s="123"/>
    </row>
    <row r="93" spans="1:8">
      <c r="A93" s="522" t="s">
        <v>52</v>
      </c>
      <c r="B93" s="516" t="s">
        <v>22</v>
      </c>
      <c r="C93" s="516" t="s">
        <v>387</v>
      </c>
      <c r="D93" s="526" t="s">
        <v>422</v>
      </c>
      <c r="E93" s="516" t="s">
        <v>371</v>
      </c>
      <c r="F93" s="518" t="s">
        <v>372</v>
      </c>
      <c r="G93" s="518" t="s">
        <v>373</v>
      </c>
      <c r="H93" s="527" t="s">
        <v>327</v>
      </c>
    </row>
    <row r="94" spans="1:8" ht="24" customHeight="1">
      <c r="A94" s="523"/>
      <c r="B94" s="517"/>
      <c r="C94" s="517"/>
      <c r="D94" s="525"/>
      <c r="E94" s="517"/>
      <c r="F94" s="519"/>
      <c r="G94" s="519"/>
      <c r="H94" s="528"/>
    </row>
    <row r="95" spans="1:8">
      <c r="A95" s="126" t="s">
        <v>328</v>
      </c>
      <c r="B95" s="14" t="s">
        <v>81</v>
      </c>
      <c r="C95" s="14" t="s">
        <v>416</v>
      </c>
      <c r="D95" s="28" t="s">
        <v>417</v>
      </c>
      <c r="E95" s="14" t="s">
        <v>338</v>
      </c>
      <c r="F95" s="15">
        <v>1E-3</v>
      </c>
      <c r="G95" s="15">
        <v>195.57</v>
      </c>
      <c r="H95" s="127">
        <f>F95*G95</f>
        <v>0.19556999999999999</v>
      </c>
    </row>
    <row r="96" spans="1:8">
      <c r="A96" s="126" t="s">
        <v>328</v>
      </c>
      <c r="B96" s="14" t="s">
        <v>81</v>
      </c>
      <c r="C96" s="14" t="s">
        <v>416</v>
      </c>
      <c r="D96" s="28" t="s">
        <v>417</v>
      </c>
      <c r="E96" s="14" t="s">
        <v>390</v>
      </c>
      <c r="F96" s="15">
        <v>7.0000000000000001E-3</v>
      </c>
      <c r="G96" s="15">
        <v>58.7</v>
      </c>
      <c r="H96" s="127">
        <f t="shared" ref="H96:H101" si="4">F96*G96</f>
        <v>0.41090000000000004</v>
      </c>
    </row>
    <row r="97" spans="1:8" ht="22.5">
      <c r="A97" s="126" t="s">
        <v>328</v>
      </c>
      <c r="B97" s="14" t="s">
        <v>27</v>
      </c>
      <c r="C97" s="14">
        <v>5932</v>
      </c>
      <c r="D97" s="26" t="s">
        <v>418</v>
      </c>
      <c r="E97" s="14" t="s">
        <v>338</v>
      </c>
      <c r="F97" s="15">
        <v>1E-4</v>
      </c>
      <c r="G97" s="15">
        <v>237.15</v>
      </c>
      <c r="H97" s="127">
        <f t="shared" si="4"/>
        <v>2.3715000000000003E-2</v>
      </c>
    </row>
    <row r="98" spans="1:8" ht="22.5">
      <c r="A98" s="128" t="s">
        <v>328</v>
      </c>
      <c r="B98" s="14" t="s">
        <v>27</v>
      </c>
      <c r="C98" s="14">
        <v>5934</v>
      </c>
      <c r="D98" s="26" t="s">
        <v>419</v>
      </c>
      <c r="E98" s="14" t="s">
        <v>390</v>
      </c>
      <c r="F98" s="15">
        <v>8.0000000000000002E-3</v>
      </c>
      <c r="G98" s="15">
        <v>91.45</v>
      </c>
      <c r="H98" s="127">
        <f t="shared" si="4"/>
        <v>0.73160000000000003</v>
      </c>
    </row>
    <row r="99" spans="1:8">
      <c r="A99" s="128" t="s">
        <v>328</v>
      </c>
      <c r="B99" s="14" t="s">
        <v>81</v>
      </c>
      <c r="C99" s="14" t="s">
        <v>420</v>
      </c>
      <c r="D99" s="28" t="s">
        <v>421</v>
      </c>
      <c r="E99" s="14" t="s">
        <v>338</v>
      </c>
      <c r="F99" s="15">
        <v>2E-3</v>
      </c>
      <c r="G99" s="360">
        <v>162.12</v>
      </c>
      <c r="H99" s="127">
        <f t="shared" si="4"/>
        <v>0.32424000000000003</v>
      </c>
    </row>
    <row r="100" spans="1:8">
      <c r="A100" s="128" t="s">
        <v>328</v>
      </c>
      <c r="B100" s="14" t="s">
        <v>27</v>
      </c>
      <c r="C100" s="14">
        <v>88316</v>
      </c>
      <c r="D100" s="26" t="s">
        <v>359</v>
      </c>
      <c r="E100" s="14" t="s">
        <v>331</v>
      </c>
      <c r="F100" s="15">
        <v>8.0000000000000002E-3</v>
      </c>
      <c r="G100" s="360">
        <v>18.79</v>
      </c>
      <c r="H100" s="127">
        <f t="shared" si="4"/>
        <v>0.15032000000000001</v>
      </c>
    </row>
    <row r="101" spans="1:8" ht="22.5">
      <c r="A101" s="128" t="s">
        <v>328</v>
      </c>
      <c r="B101" s="14" t="s">
        <v>27</v>
      </c>
      <c r="C101" s="14">
        <v>93244</v>
      </c>
      <c r="D101" s="26" t="s">
        <v>423</v>
      </c>
      <c r="E101" s="14" t="s">
        <v>390</v>
      </c>
      <c r="F101" s="15">
        <v>6.0000000000000001E-3</v>
      </c>
      <c r="G101" s="15">
        <v>73.78</v>
      </c>
      <c r="H101" s="127">
        <f t="shared" si="4"/>
        <v>0.44268000000000002</v>
      </c>
    </row>
    <row r="102" spans="1:8">
      <c r="A102" s="129"/>
      <c r="B102" s="16"/>
      <c r="C102" s="16"/>
      <c r="D102" s="16"/>
      <c r="E102" s="512" t="s">
        <v>332</v>
      </c>
      <c r="F102" s="512"/>
      <c r="G102" s="513"/>
      <c r="H102" s="130">
        <f>SUM(H95:H101)</f>
        <v>2.2790250000000003</v>
      </c>
    </row>
    <row r="103" spans="1:8">
      <c r="A103" s="131"/>
      <c r="B103" s="17"/>
      <c r="C103" s="17"/>
      <c r="D103" s="17"/>
      <c r="E103" s="18"/>
      <c r="F103" s="19" t="s">
        <v>385</v>
      </c>
      <c r="G103" s="20">
        <f>$G$9</f>
        <v>0.21378112315270936</v>
      </c>
      <c r="H103" s="132">
        <f>ROUND(H102*$G$24,2)</f>
        <v>0.49</v>
      </c>
    </row>
    <row r="104" spans="1:8">
      <c r="A104" s="133"/>
      <c r="B104" s="21"/>
      <c r="C104" s="21"/>
      <c r="D104" s="21"/>
      <c r="E104" s="22"/>
      <c r="F104" s="22"/>
      <c r="G104" s="23" t="s">
        <v>386</v>
      </c>
      <c r="H104" s="134">
        <f>H102+H103</f>
        <v>2.7690250000000001</v>
      </c>
    </row>
    <row r="105" spans="1:8">
      <c r="A105" s="137"/>
      <c r="B105" s="138"/>
      <c r="C105" s="138"/>
      <c r="D105" s="138"/>
      <c r="E105" s="139" t="str">
        <f>A93</f>
        <v>CPU-23</v>
      </c>
      <c r="F105" s="520" t="s">
        <v>334</v>
      </c>
      <c r="G105" s="521"/>
      <c r="H105" s="140">
        <f>H104</f>
        <v>2.7690250000000001</v>
      </c>
    </row>
  </sheetData>
  <mergeCells count="81">
    <mergeCell ref="F93:F94"/>
    <mergeCell ref="G93:G94"/>
    <mergeCell ref="H13:H14"/>
    <mergeCell ref="H28:H29"/>
    <mergeCell ref="H43:H44"/>
    <mergeCell ref="H57:H58"/>
    <mergeCell ref="H67:H68"/>
    <mergeCell ref="H82:H83"/>
    <mergeCell ref="H93:H94"/>
    <mergeCell ref="D57:D58"/>
    <mergeCell ref="D67:D68"/>
    <mergeCell ref="D82:D83"/>
    <mergeCell ref="D93:D94"/>
    <mergeCell ref="G82:G83"/>
    <mergeCell ref="E57:E58"/>
    <mergeCell ref="E67:E68"/>
    <mergeCell ref="G57:G58"/>
    <mergeCell ref="G67:G68"/>
    <mergeCell ref="E77:G77"/>
    <mergeCell ref="E88:G88"/>
    <mergeCell ref="E82:E83"/>
    <mergeCell ref="E93:E94"/>
    <mergeCell ref="F57:F58"/>
    <mergeCell ref="F67:F68"/>
    <mergeCell ref="F82:F83"/>
    <mergeCell ref="B93:B94"/>
    <mergeCell ref="C13:C14"/>
    <mergeCell ref="C28:C29"/>
    <mergeCell ref="C43:C44"/>
    <mergeCell ref="C57:C58"/>
    <mergeCell ref="C67:C68"/>
    <mergeCell ref="C82:C83"/>
    <mergeCell ref="C93:C94"/>
    <mergeCell ref="F91:G91"/>
    <mergeCell ref="F80:G80"/>
    <mergeCell ref="E102:G102"/>
    <mergeCell ref="F105:G105"/>
    <mergeCell ref="A13:A14"/>
    <mergeCell ref="A28:A29"/>
    <mergeCell ref="A43:A44"/>
    <mergeCell ref="A57:A58"/>
    <mergeCell ref="A67:A68"/>
    <mergeCell ref="A82:A83"/>
    <mergeCell ref="A93:A94"/>
    <mergeCell ref="E62:G62"/>
    <mergeCell ref="F65:G65"/>
    <mergeCell ref="B57:B58"/>
    <mergeCell ref="B67:B68"/>
    <mergeCell ref="B82:B83"/>
    <mergeCell ref="F54:G54"/>
    <mergeCell ref="B13:B14"/>
    <mergeCell ref="B28:B29"/>
    <mergeCell ref="B43:B44"/>
    <mergeCell ref="E13:E14"/>
    <mergeCell ref="E28:E29"/>
    <mergeCell ref="E43:E44"/>
    <mergeCell ref="G13:G14"/>
    <mergeCell ref="G28:G29"/>
    <mergeCell ref="G43:G44"/>
    <mergeCell ref="D13:D14"/>
    <mergeCell ref="D28:D29"/>
    <mergeCell ref="D43:D44"/>
    <mergeCell ref="F13:F14"/>
    <mergeCell ref="F28:F29"/>
    <mergeCell ref="F43:F44"/>
    <mergeCell ref="E23:G23"/>
    <mergeCell ref="F26:G26"/>
    <mergeCell ref="E38:G38"/>
    <mergeCell ref="F41:G41"/>
    <mergeCell ref="E51:G51"/>
    <mergeCell ref="E9:F9"/>
    <mergeCell ref="G9:H9"/>
    <mergeCell ref="E10:F10"/>
    <mergeCell ref="G10:H10"/>
    <mergeCell ref="B11:D11"/>
    <mergeCell ref="E11:H11"/>
    <mergeCell ref="C1:G1"/>
    <mergeCell ref="C2:G2"/>
    <mergeCell ref="C3:G3"/>
    <mergeCell ref="A5:G5"/>
    <mergeCell ref="A7:H7"/>
  </mergeCells>
  <pageMargins left="0.511811024" right="0.511811024" top="0.78740157499999996" bottom="0.78740157499999996" header="0.31496062000000002" footer="0.31496062000000002"/>
  <pageSetup paperSize="9" scale="46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P37"/>
  <sheetViews>
    <sheetView view="pageBreakPreview" topLeftCell="A4" zoomScaleNormal="100" zoomScaleSheetLayoutView="100" workbookViewId="0">
      <selection activeCell="G12" sqref="G12:H12"/>
    </sheetView>
  </sheetViews>
  <sheetFormatPr defaultColWidth="9" defaultRowHeight="12.75"/>
  <cols>
    <col min="2" max="2" width="15.42578125" customWidth="1"/>
    <col min="3" max="3" width="48.28515625" customWidth="1"/>
    <col min="4" max="4" width="9.5703125"/>
  </cols>
  <sheetData>
    <row r="2" spans="2:16" ht="20.25">
      <c r="B2" s="529" t="s">
        <v>540</v>
      </c>
      <c r="C2" s="530"/>
      <c r="D2" s="530"/>
      <c r="E2" s="530"/>
      <c r="F2" s="530"/>
      <c r="G2" s="530"/>
      <c r="H2" s="530"/>
      <c r="I2" s="531"/>
    </row>
    <row r="3" spans="2:16" ht="20.25">
      <c r="B3" s="532"/>
      <c r="C3" s="533"/>
      <c r="D3" s="533"/>
      <c r="E3" s="533"/>
      <c r="F3" s="533"/>
      <c r="G3" s="533"/>
      <c r="H3" s="533"/>
      <c r="I3" s="534"/>
    </row>
    <row r="4" spans="2:16" ht="71.099999999999994" customHeight="1">
      <c r="B4" s="67" t="s">
        <v>424</v>
      </c>
      <c r="C4" s="489" t="s">
        <v>5</v>
      </c>
      <c r="D4" s="490"/>
      <c r="E4" s="490"/>
      <c r="F4" s="490"/>
      <c r="G4" s="490"/>
      <c r="H4" s="490"/>
      <c r="I4" s="491"/>
      <c r="J4" s="361"/>
      <c r="K4" s="361"/>
    </row>
    <row r="5" spans="2:16" ht="15.75">
      <c r="B5" s="68"/>
      <c r="C5" s="535"/>
      <c r="D5" s="535"/>
      <c r="E5" s="535"/>
      <c r="F5" s="535"/>
      <c r="G5" s="535"/>
      <c r="H5" s="535"/>
      <c r="I5" s="536"/>
    </row>
    <row r="6" spans="2:16" ht="15">
      <c r="B6" s="537" t="s">
        <v>538</v>
      </c>
      <c r="C6" s="538"/>
      <c r="D6" s="538"/>
      <c r="E6" s="538"/>
      <c r="F6" s="538"/>
      <c r="G6" s="538"/>
      <c r="H6" s="538"/>
      <c r="I6" s="539"/>
    </row>
    <row r="7" spans="2:16" ht="15">
      <c r="B7" s="69"/>
      <c r="C7" s="70"/>
      <c r="D7" s="70"/>
      <c r="E7" s="70"/>
      <c r="F7" s="70"/>
      <c r="G7" s="71"/>
      <c r="H7" s="71"/>
      <c r="I7" s="106"/>
      <c r="M7" s="540" t="s">
        <v>425</v>
      </c>
      <c r="N7" s="540"/>
      <c r="O7" s="540"/>
      <c r="P7" s="540"/>
    </row>
    <row r="8" spans="2:16" ht="15.75" customHeight="1">
      <c r="B8" s="541" t="s">
        <v>539</v>
      </c>
      <c r="C8" s="538"/>
      <c r="D8" s="539"/>
      <c r="E8" s="70"/>
      <c r="F8" s="571" t="s">
        <v>426</v>
      </c>
      <c r="G8" s="572"/>
      <c r="H8" s="572"/>
      <c r="I8" s="573"/>
      <c r="M8" s="571" t="s">
        <v>426</v>
      </c>
      <c r="N8" s="572"/>
      <c r="O8" s="572"/>
      <c r="P8" s="573"/>
    </row>
    <row r="9" spans="2:16">
      <c r="B9" s="593" t="s">
        <v>10</v>
      </c>
      <c r="C9" s="597" t="s">
        <v>427</v>
      </c>
      <c r="D9" s="601" t="s">
        <v>428</v>
      </c>
      <c r="E9" s="72"/>
      <c r="F9" s="574"/>
      <c r="G9" s="575"/>
      <c r="H9" s="575"/>
      <c r="I9" s="576"/>
      <c r="M9" s="574"/>
      <c r="N9" s="575"/>
      <c r="O9" s="575"/>
      <c r="P9" s="576"/>
    </row>
    <row r="10" spans="2:16">
      <c r="B10" s="594"/>
      <c r="C10" s="598"/>
      <c r="D10" s="602"/>
      <c r="E10" s="72"/>
      <c r="F10" s="73" t="s">
        <v>429</v>
      </c>
      <c r="G10" s="542" t="s">
        <v>430</v>
      </c>
      <c r="H10" s="543"/>
      <c r="I10" s="108" t="s">
        <v>431</v>
      </c>
      <c r="M10" s="73" t="s">
        <v>429</v>
      </c>
      <c r="N10" s="542" t="s">
        <v>430</v>
      </c>
      <c r="O10" s="543"/>
      <c r="P10" s="108" t="s">
        <v>431</v>
      </c>
    </row>
    <row r="11" spans="2:16" ht="14.25">
      <c r="B11" s="544"/>
      <c r="C11" s="545"/>
      <c r="D11" s="545"/>
      <c r="E11" s="74"/>
      <c r="F11" s="74"/>
      <c r="G11" s="71"/>
      <c r="H11" s="71"/>
      <c r="I11" s="106"/>
      <c r="M11" s="74"/>
      <c r="N11" s="71"/>
      <c r="O11" s="71"/>
      <c r="P11" s="106"/>
    </row>
    <row r="12" spans="2:16" ht="14.25">
      <c r="B12" s="75" t="s">
        <v>432</v>
      </c>
      <c r="C12" s="546" t="s">
        <v>433</v>
      </c>
      <c r="D12" s="547"/>
      <c r="E12" s="76"/>
      <c r="F12" s="77"/>
      <c r="G12" s="548"/>
      <c r="H12" s="549"/>
      <c r="I12" s="109"/>
      <c r="M12" s="77"/>
      <c r="N12" s="548"/>
      <c r="O12" s="549"/>
      <c r="P12" s="109"/>
    </row>
    <row r="13" spans="2:16">
      <c r="B13" s="78" t="s">
        <v>434</v>
      </c>
      <c r="C13" s="79" t="s">
        <v>435</v>
      </c>
      <c r="D13" s="362">
        <v>0</v>
      </c>
      <c r="E13" s="81"/>
      <c r="F13" s="82">
        <v>8.0000000000000002E-3</v>
      </c>
      <c r="G13" s="550">
        <v>8.0000000000000002E-3</v>
      </c>
      <c r="H13" s="551"/>
      <c r="I13" s="110">
        <v>0.01</v>
      </c>
      <c r="M13" s="111">
        <v>3.2000000000000002E-3</v>
      </c>
      <c r="N13" s="550">
        <v>4.0000000000000001E-3</v>
      </c>
      <c r="O13" s="551"/>
      <c r="P13" s="110">
        <v>7.4000000000000003E-3</v>
      </c>
    </row>
    <row r="14" spans="2:16">
      <c r="B14" s="78" t="s">
        <v>436</v>
      </c>
      <c r="C14" s="79" t="s">
        <v>437</v>
      </c>
      <c r="D14" s="362">
        <v>0</v>
      </c>
      <c r="E14" s="81"/>
      <c r="F14" s="82">
        <v>9.7000000000000003E-3</v>
      </c>
      <c r="G14" s="550">
        <v>1.2699999999999999E-2</v>
      </c>
      <c r="H14" s="551"/>
      <c r="I14" s="110">
        <v>1.2699999999999999E-2</v>
      </c>
      <c r="M14" s="111">
        <v>5.0000000000000001E-3</v>
      </c>
      <c r="N14" s="550">
        <v>5.5999999999999999E-3</v>
      </c>
      <c r="O14" s="551"/>
      <c r="P14" s="110">
        <v>9.7000000000000003E-3</v>
      </c>
    </row>
    <row r="15" spans="2:16">
      <c r="B15" s="78" t="s">
        <v>438</v>
      </c>
      <c r="C15" s="79" t="s">
        <v>439</v>
      </c>
      <c r="D15" s="80">
        <v>6.0000000000000001E-3</v>
      </c>
      <c r="E15" s="81"/>
      <c r="F15" s="82">
        <v>5.8999999999999999E-3</v>
      </c>
      <c r="G15" s="550">
        <v>1.23E-2</v>
      </c>
      <c r="H15" s="551"/>
      <c r="I15" s="110">
        <v>1.3899999999999999E-2</v>
      </c>
      <c r="M15" s="82">
        <v>1.0200000000000001E-2</v>
      </c>
      <c r="N15" s="550">
        <v>1.11E-2</v>
      </c>
      <c r="O15" s="551"/>
      <c r="P15" s="110">
        <v>1.21E-2</v>
      </c>
    </row>
    <row r="16" spans="2:16">
      <c r="B16" s="78" t="s">
        <v>440</v>
      </c>
      <c r="C16" s="79" t="s">
        <v>441</v>
      </c>
      <c r="D16" s="80">
        <v>3.2000000000000001E-2</v>
      </c>
      <c r="E16" s="81"/>
      <c r="F16" s="82">
        <v>0.03</v>
      </c>
      <c r="G16" s="550">
        <v>0.04</v>
      </c>
      <c r="H16" s="551"/>
      <c r="I16" s="110">
        <v>5.5E-2</v>
      </c>
      <c r="M16" s="82">
        <v>3.7999999999999999E-2</v>
      </c>
      <c r="N16" s="550">
        <v>4.0099999999999997E-2</v>
      </c>
      <c r="O16" s="551"/>
      <c r="P16" s="110">
        <v>4.6699999999999998E-2</v>
      </c>
    </row>
    <row r="17" spans="2:16">
      <c r="B17" s="552" t="s">
        <v>442</v>
      </c>
      <c r="C17" s="553"/>
      <c r="D17" s="83">
        <f>SUM(D13:D16)</f>
        <v>3.7999999999999999E-2</v>
      </c>
      <c r="E17" s="84"/>
      <c r="F17" s="85"/>
      <c r="G17" s="554"/>
      <c r="H17" s="555"/>
      <c r="I17" s="112"/>
      <c r="M17" s="85"/>
      <c r="N17" s="554"/>
      <c r="O17" s="555"/>
      <c r="P17" s="112"/>
    </row>
    <row r="18" spans="2:16">
      <c r="B18" s="556"/>
      <c r="C18" s="557"/>
      <c r="D18" s="557"/>
      <c r="E18" s="86"/>
      <c r="F18" s="81"/>
      <c r="G18" s="81"/>
      <c r="H18" s="81"/>
      <c r="I18" s="113"/>
      <c r="M18" s="81"/>
      <c r="N18" s="81"/>
      <c r="O18" s="81"/>
      <c r="P18" s="113"/>
    </row>
    <row r="19" spans="2:16">
      <c r="B19" s="75" t="s">
        <v>443</v>
      </c>
      <c r="C19" s="546" t="s">
        <v>444</v>
      </c>
      <c r="D19" s="547"/>
      <c r="E19" s="76"/>
      <c r="F19" s="87"/>
      <c r="G19" s="558"/>
      <c r="H19" s="559"/>
      <c r="I19" s="114"/>
      <c r="M19" s="87"/>
      <c r="N19" s="558"/>
      <c r="O19" s="559"/>
      <c r="P19" s="114"/>
    </row>
    <row r="20" spans="2:16">
      <c r="B20" s="78" t="s">
        <v>445</v>
      </c>
      <c r="C20" s="79" t="s">
        <v>446</v>
      </c>
      <c r="D20" s="80">
        <v>6.8000000000000005E-2</v>
      </c>
      <c r="E20" s="81"/>
      <c r="F20" s="82">
        <v>6.1600000000000002E-2</v>
      </c>
      <c r="G20" s="550">
        <v>7.3999999999999996E-2</v>
      </c>
      <c r="H20" s="551"/>
      <c r="I20" s="110">
        <v>8.9599999999999999E-2</v>
      </c>
      <c r="M20" s="82">
        <v>6.6400000000000001E-2</v>
      </c>
      <c r="N20" s="550">
        <v>7.2999999999999995E-2</v>
      </c>
      <c r="O20" s="551"/>
      <c r="P20" s="110">
        <v>8.6900000000000005E-2</v>
      </c>
    </row>
    <row r="21" spans="2:16">
      <c r="B21" s="552" t="s">
        <v>447</v>
      </c>
      <c r="C21" s="553"/>
      <c r="D21" s="83">
        <f>SUM(D20)</f>
        <v>6.8000000000000005E-2</v>
      </c>
      <c r="E21" s="84"/>
      <c r="F21" s="85"/>
      <c r="G21" s="554"/>
      <c r="H21" s="555"/>
      <c r="I21" s="112"/>
      <c r="M21" s="85"/>
      <c r="N21" s="554"/>
      <c r="O21" s="555"/>
      <c r="P21" s="112"/>
    </row>
    <row r="22" spans="2:16">
      <c r="B22" s="556"/>
      <c r="C22" s="557"/>
      <c r="D22" s="557"/>
      <c r="E22" s="86"/>
      <c r="F22" s="81"/>
      <c r="G22" s="81"/>
      <c r="H22" s="81"/>
      <c r="I22" s="113"/>
    </row>
    <row r="23" spans="2:16" ht="12.75" customHeight="1">
      <c r="B23" s="75" t="s">
        <v>448</v>
      </c>
      <c r="C23" s="546" t="s">
        <v>449</v>
      </c>
      <c r="D23" s="547"/>
      <c r="E23" s="76"/>
      <c r="F23" s="560" t="s">
        <v>450</v>
      </c>
      <c r="G23" s="561"/>
      <c r="H23" s="561"/>
      <c r="I23" s="562"/>
    </row>
    <row r="24" spans="2:16" ht="12.75" customHeight="1">
      <c r="B24" s="78" t="s">
        <v>451</v>
      </c>
      <c r="C24" s="79" t="s">
        <v>452</v>
      </c>
      <c r="D24" s="80">
        <v>6.4999999999999997E-3</v>
      </c>
      <c r="E24" s="81"/>
      <c r="F24" s="567" t="s">
        <v>453</v>
      </c>
      <c r="G24" s="577" t="s">
        <v>454</v>
      </c>
      <c r="H24" s="578"/>
      <c r="I24" s="569" t="s">
        <v>455</v>
      </c>
    </row>
    <row r="25" spans="2:16">
      <c r="B25" s="78" t="s">
        <v>456</v>
      </c>
      <c r="C25" s="79" t="s">
        <v>280</v>
      </c>
      <c r="D25" s="80">
        <v>0.03</v>
      </c>
      <c r="E25" s="81"/>
      <c r="F25" s="568"/>
      <c r="G25" s="579"/>
      <c r="H25" s="580"/>
      <c r="I25" s="570"/>
    </row>
    <row r="26" spans="2:16">
      <c r="B26" s="595" t="s">
        <v>457</v>
      </c>
      <c r="C26" s="599" t="s">
        <v>458</v>
      </c>
      <c r="D26" s="603">
        <f>F27</f>
        <v>0.05</v>
      </c>
      <c r="E26" s="81"/>
      <c r="F26" s="90"/>
      <c r="G26" s="81"/>
      <c r="H26" s="81"/>
      <c r="I26" s="113"/>
    </row>
    <row r="27" spans="2:16">
      <c r="B27" s="596"/>
      <c r="C27" s="600"/>
      <c r="D27" s="604"/>
      <c r="E27" s="81"/>
      <c r="F27" s="91">
        <v>0.05</v>
      </c>
      <c r="G27" s="563">
        <v>0.6</v>
      </c>
      <c r="H27" s="564"/>
      <c r="I27" s="115">
        <f>F27*G27</f>
        <v>0.03</v>
      </c>
    </row>
    <row r="28" spans="2:16">
      <c r="B28" s="88" t="s">
        <v>459</v>
      </c>
      <c r="C28" s="92" t="s">
        <v>460</v>
      </c>
      <c r="D28" s="89"/>
      <c r="E28" s="81"/>
      <c r="F28" s="93"/>
      <c r="G28" s="93"/>
      <c r="H28" s="93"/>
      <c r="I28" s="116"/>
    </row>
    <row r="29" spans="2:16">
      <c r="B29" s="552" t="s">
        <v>461</v>
      </c>
      <c r="C29" s="553"/>
      <c r="D29" s="83">
        <f>SUM(D24:D28)</f>
        <v>8.6499999999999994E-2</v>
      </c>
      <c r="E29" s="84"/>
      <c r="F29" s="94"/>
      <c r="G29" s="94"/>
      <c r="H29" s="94"/>
      <c r="I29" s="117"/>
    </row>
    <row r="30" spans="2:16">
      <c r="B30" s="591"/>
      <c r="C30" s="592"/>
      <c r="D30" s="592"/>
      <c r="E30" s="95"/>
      <c r="F30" s="94"/>
      <c r="G30" s="94"/>
      <c r="H30" s="94"/>
      <c r="I30" s="117"/>
    </row>
    <row r="31" spans="2:16">
      <c r="B31" s="96"/>
      <c r="C31" s="76" t="s">
        <v>462</v>
      </c>
      <c r="D31" s="97"/>
      <c r="E31" s="97"/>
      <c r="F31" s="94"/>
      <c r="G31" s="94"/>
      <c r="H31" s="94"/>
      <c r="I31" s="117"/>
    </row>
    <row r="32" spans="2:16">
      <c r="B32" s="98"/>
      <c r="C32" s="95"/>
      <c r="D32" s="95"/>
      <c r="E32" s="95"/>
      <c r="F32" s="94"/>
      <c r="G32" s="94"/>
      <c r="H32" s="94"/>
      <c r="I32" s="117"/>
    </row>
    <row r="33" spans="2:9">
      <c r="B33" s="581" t="s">
        <v>463</v>
      </c>
      <c r="C33" s="582"/>
      <c r="D33" s="583"/>
      <c r="E33" s="99"/>
      <c r="F33" s="94"/>
      <c r="G33" s="94"/>
      <c r="H33" s="94"/>
      <c r="I33" s="117"/>
    </row>
    <row r="34" spans="2:9">
      <c r="B34" s="584"/>
      <c r="C34" s="585"/>
      <c r="D34" s="586"/>
      <c r="E34" s="99"/>
      <c r="F34" s="94"/>
      <c r="G34" s="94"/>
      <c r="H34" s="94"/>
      <c r="I34" s="117"/>
    </row>
    <row r="35" spans="2:9">
      <c r="B35" s="100"/>
      <c r="C35" s="101"/>
      <c r="D35" s="102"/>
      <c r="E35" s="102"/>
      <c r="F35" s="94"/>
      <c r="G35" s="94"/>
      <c r="H35" s="94"/>
      <c r="I35" s="117"/>
    </row>
    <row r="36" spans="2:9" ht="15.75">
      <c r="B36" s="587" t="s">
        <v>464</v>
      </c>
      <c r="C36" s="588"/>
      <c r="D36" s="565">
        <f>(((1+D16+D13+D14)*(1+D15)*(1+D21))/(1-D29))-1</f>
        <v>0.21378112315270936</v>
      </c>
      <c r="E36" s="103"/>
      <c r="F36" s="94"/>
      <c r="G36" s="94"/>
      <c r="H36" s="94"/>
      <c r="I36" s="117"/>
    </row>
    <row r="37" spans="2:9" ht="15.75">
      <c r="B37" s="589"/>
      <c r="C37" s="590"/>
      <c r="D37" s="566"/>
      <c r="E37" s="104"/>
      <c r="F37" s="105"/>
      <c r="G37" s="105"/>
      <c r="H37" s="105"/>
      <c r="I37" s="118"/>
    </row>
  </sheetData>
  <mergeCells count="53">
    <mergeCell ref="D36:D37"/>
    <mergeCell ref="F24:F25"/>
    <mergeCell ref="I24:I25"/>
    <mergeCell ref="M8:P9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B2:I2"/>
    <mergeCell ref="B3:I3"/>
    <mergeCell ref="C4:I4"/>
    <mergeCell ref="C5:I5"/>
    <mergeCell ref="B6:I6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E32"/>
  <sheetViews>
    <sheetView tabSelected="1" view="pageBreakPreview" zoomScaleNormal="100" zoomScaleSheetLayoutView="100" workbookViewId="0">
      <selection activeCell="B6" sqref="B6:E6"/>
    </sheetView>
  </sheetViews>
  <sheetFormatPr defaultColWidth="9" defaultRowHeight="12.75"/>
  <cols>
    <col min="2" max="2" width="8.85546875" customWidth="1"/>
    <col min="3" max="3" width="48.28515625" customWidth="1"/>
    <col min="4" max="4" width="10.42578125" customWidth="1"/>
    <col min="6" max="6" width="21.140625" customWidth="1"/>
    <col min="9" max="9" width="16.85546875" customWidth="1"/>
  </cols>
  <sheetData>
    <row r="2" spans="2:5" ht="39" customHeight="1">
      <c r="B2" s="363"/>
      <c r="C2" s="364"/>
      <c r="D2" s="365"/>
      <c r="E2" s="366"/>
    </row>
    <row r="3" spans="2:5" ht="78" customHeight="1">
      <c r="B3" s="367" t="s">
        <v>424</v>
      </c>
      <c r="C3" s="634" t="s">
        <v>5</v>
      </c>
      <c r="D3" s="634"/>
      <c r="E3" s="635"/>
    </row>
    <row r="4" spans="2:5">
      <c r="B4" s="368" t="s">
        <v>544</v>
      </c>
      <c r="C4" s="64" t="s">
        <v>565</v>
      </c>
      <c r="D4" s="64"/>
      <c r="E4" s="369"/>
    </row>
    <row r="5" spans="2:5">
      <c r="B5" s="368" t="s">
        <v>545</v>
      </c>
      <c r="C5" s="64" t="s">
        <v>566</v>
      </c>
      <c r="D5" s="64"/>
      <c r="E5" s="369"/>
    </row>
    <row r="6" spans="2:5" ht="15.75">
      <c r="B6" s="605" t="s">
        <v>563</v>
      </c>
      <c r="C6" s="606"/>
      <c r="D6" s="606"/>
      <c r="E6" s="607"/>
    </row>
    <row r="7" spans="2:5">
      <c r="B7" s="608" t="s">
        <v>564</v>
      </c>
      <c r="C7" s="609"/>
      <c r="D7" s="609"/>
      <c r="E7" s="610"/>
    </row>
    <row r="8" spans="2:5">
      <c r="B8" s="611" t="s">
        <v>546</v>
      </c>
      <c r="C8" s="612"/>
      <c r="D8" s="612"/>
      <c r="E8" s="613"/>
    </row>
    <row r="9" spans="2:5">
      <c r="B9" s="370"/>
      <c r="C9" s="64"/>
      <c r="D9" s="64"/>
      <c r="E9" s="369"/>
    </row>
    <row r="10" spans="2:5" ht="38.25">
      <c r="B10" s="371" t="s">
        <v>547</v>
      </c>
      <c r="C10" s="372" t="s">
        <v>548</v>
      </c>
      <c r="D10" s="373" t="s">
        <v>549</v>
      </c>
      <c r="E10" s="374" t="s">
        <v>550</v>
      </c>
    </row>
    <row r="11" spans="2:5">
      <c r="B11" s="375"/>
      <c r="C11" s="66"/>
      <c r="D11" s="64"/>
      <c r="E11" s="369"/>
    </row>
    <row r="12" spans="2:5">
      <c r="B12" s="375">
        <v>1</v>
      </c>
      <c r="C12" s="66" t="s">
        <v>551</v>
      </c>
      <c r="D12" s="376"/>
      <c r="E12" s="377">
        <v>0.04</v>
      </c>
    </row>
    <row r="13" spans="2:5">
      <c r="B13" s="378"/>
      <c r="C13" s="64"/>
      <c r="D13" s="379"/>
      <c r="E13" s="380"/>
    </row>
    <row r="14" spans="2:5">
      <c r="B14" s="375">
        <v>2</v>
      </c>
      <c r="C14" s="66" t="s">
        <v>552</v>
      </c>
      <c r="D14" s="376">
        <f>D15+D16+D17</f>
        <v>3.6499999999999998E-2</v>
      </c>
      <c r="E14" s="377"/>
    </row>
    <row r="15" spans="2:5">
      <c r="B15" s="381" t="s">
        <v>48</v>
      </c>
      <c r="C15" s="64" t="s">
        <v>458</v>
      </c>
      <c r="D15" s="379"/>
      <c r="E15" s="380"/>
    </row>
    <row r="16" spans="2:5">
      <c r="B16" s="381" t="s">
        <v>51</v>
      </c>
      <c r="C16" s="64" t="s">
        <v>282</v>
      </c>
      <c r="D16" s="379">
        <v>6.4999999999999997E-3</v>
      </c>
      <c r="E16" s="380"/>
    </row>
    <row r="17" spans="2:5">
      <c r="B17" s="381" t="s">
        <v>553</v>
      </c>
      <c r="C17" s="64" t="s">
        <v>554</v>
      </c>
      <c r="D17" s="379">
        <v>0.03</v>
      </c>
      <c r="E17" s="380"/>
    </row>
    <row r="18" spans="2:5">
      <c r="B18" s="381"/>
      <c r="C18" s="64"/>
      <c r="D18" s="379"/>
      <c r="E18" s="380"/>
    </row>
    <row r="19" spans="2:5">
      <c r="B19" s="382" t="s">
        <v>555</v>
      </c>
      <c r="C19" s="66" t="s">
        <v>556</v>
      </c>
      <c r="D19" s="379"/>
      <c r="E19" s="380">
        <v>0</v>
      </c>
    </row>
    <row r="20" spans="2:5">
      <c r="B20" s="378"/>
      <c r="C20" s="64"/>
      <c r="D20" s="379"/>
      <c r="E20" s="380"/>
    </row>
    <row r="21" spans="2:5">
      <c r="B21" s="375">
        <v>4</v>
      </c>
      <c r="C21" s="66" t="s">
        <v>557</v>
      </c>
      <c r="D21" s="379"/>
      <c r="E21" s="380">
        <v>0.01</v>
      </c>
    </row>
    <row r="22" spans="2:5">
      <c r="B22" s="378"/>
      <c r="C22" s="64"/>
      <c r="D22" s="379"/>
      <c r="E22" s="380"/>
    </row>
    <row r="23" spans="2:5">
      <c r="B23" s="375">
        <v>5</v>
      </c>
      <c r="C23" s="66" t="s">
        <v>558</v>
      </c>
      <c r="D23" s="376"/>
      <c r="E23" s="377">
        <v>5.4899999999999997E-2</v>
      </c>
    </row>
    <row r="24" spans="2:5">
      <c r="B24" s="378"/>
      <c r="C24" s="64"/>
      <c r="D24" s="383"/>
      <c r="E24" s="384"/>
    </row>
    <row r="25" spans="2:5">
      <c r="B25" s="385"/>
      <c r="C25" s="386" t="s">
        <v>559</v>
      </c>
      <c r="D25" s="387"/>
      <c r="E25" s="388">
        <f>ROUND(((((1+E12+E19)*(1+E21)*(1+E23))/(1-D14))-1),4)</f>
        <v>0.15</v>
      </c>
    </row>
    <row r="26" spans="2:5">
      <c r="B26" s="385"/>
      <c r="C26" s="386"/>
      <c r="D26" s="387"/>
      <c r="E26" s="388"/>
    </row>
    <row r="27" spans="2:5">
      <c r="B27" s="375" t="s">
        <v>560</v>
      </c>
      <c r="C27" s="64"/>
      <c r="D27" s="383"/>
      <c r="E27" s="384"/>
    </row>
    <row r="28" spans="2:5">
      <c r="B28" s="3" t="s">
        <v>561</v>
      </c>
      <c r="C28" s="64"/>
      <c r="D28" s="383"/>
      <c r="E28" s="389"/>
    </row>
    <row r="29" spans="2:5">
      <c r="B29" s="378"/>
      <c r="C29" s="64"/>
      <c r="D29" s="383"/>
      <c r="E29" s="389"/>
    </row>
    <row r="30" spans="2:5">
      <c r="B30" s="378"/>
      <c r="C30" s="64"/>
      <c r="D30" s="64"/>
      <c r="E30" s="390"/>
    </row>
    <row r="31" spans="2:5">
      <c r="B31" s="378"/>
      <c r="C31" s="64"/>
      <c r="D31" s="64"/>
      <c r="E31" s="369"/>
    </row>
    <row r="32" spans="2:5">
      <c r="B32" s="391"/>
      <c r="C32" s="392"/>
      <c r="D32" s="393"/>
      <c r="E32" s="394"/>
    </row>
  </sheetData>
  <mergeCells count="4">
    <mergeCell ref="B6:E6"/>
    <mergeCell ref="B7:E7"/>
    <mergeCell ref="B8:E8"/>
    <mergeCell ref="C3:E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Planilha - LIVRAMENTO</vt:lpstr>
      <vt:lpstr>Cronograma - LIVRAMENTO</vt:lpstr>
      <vt:lpstr>MC - Livramento</vt:lpstr>
      <vt:lpstr>Mobilização - LIVRAMENTO</vt:lpstr>
      <vt:lpstr>MC - Material asfáltico</vt:lpstr>
      <vt:lpstr>CPU 01 - SERVIÇOS PRELIMINARES</vt:lpstr>
      <vt:lpstr>CPU 02</vt:lpstr>
      <vt:lpstr>BDI</vt:lpstr>
      <vt:lpstr>BDI - FORNECIMENTO </vt:lpstr>
      <vt:lpstr>ENC SOCIAIS</vt:lpstr>
      <vt:lpstr>BDI!Area_de_impressao</vt:lpstr>
      <vt:lpstr>'BDI - FORNECIMENTO '!Area_de_impressao</vt:lpstr>
      <vt:lpstr>'CPU 01 - SERVIÇOS PRELIMINARES'!Area_de_impressao</vt:lpstr>
      <vt:lpstr>'CPU 02'!Area_de_impressao</vt:lpstr>
      <vt:lpstr>'Cronograma - LIVRAMENTO'!Area_de_impressao</vt:lpstr>
      <vt:lpstr>'ENC SOCIAIS'!Area_de_impressao</vt:lpstr>
      <vt:lpstr>'MC - Livramento'!Area_de_impressao</vt:lpstr>
      <vt:lpstr>'MC - Material asfáltico'!Area_de_impressao</vt:lpstr>
      <vt:lpstr>'Planilha - LIVRAMENTO'!Area_de_impressao</vt:lpstr>
      <vt:lpstr>'Planilha - LIVRAMENTO'!Titulos_de_impressao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2018-07-17T17:06:00Z</cp:lastPrinted>
  <dcterms:created xsi:type="dcterms:W3CDTF">1998-01-22T12:19:00Z</dcterms:created>
  <dcterms:modified xsi:type="dcterms:W3CDTF">2021-11-25T20:36:33Z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