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50.61\Armazenamento\2ª_GRD\07-LICITAÇÕES 2021\13-MELHORIA MOBILIDADE_CICLOVIA_IRECÊ\CD LICITAÇÃO_20-11-2021\"/>
    </mc:Choice>
  </mc:AlternateContent>
  <bookViews>
    <workbookView xWindow="0" yWindow="0" windowWidth="24000" windowHeight="9735" tabRatio="876"/>
  </bookViews>
  <sheets>
    <sheet name="Planilha - CICLOVIA" sheetId="81" r:id="rId1"/>
    <sheet name="Cronograma " sheetId="82" r:id="rId2"/>
    <sheet name="Memória de cálculo" sheetId="83" r:id="rId3"/>
    <sheet name="Mobilização " sheetId="84" r:id="rId4"/>
    <sheet name="CPU 01 - SERVIÇOS PRELIMINARES" sheetId="74" r:id="rId5"/>
    <sheet name="CPU 02" sheetId="70" r:id="rId6"/>
    <sheet name="BDI" sheetId="77" r:id="rId7"/>
    <sheet name="ENCARGOS SOCIAIS" sheetId="78" r:id="rId8"/>
  </sheets>
  <definedNames>
    <definedName name="AccessDatabase" hidden="1">"D:\Arquivos do excel\Planilha modelo1.mdb"</definedName>
    <definedName name="af" localSheetId="4">#REF!</definedName>
    <definedName name="af" localSheetId="1">#REF!</definedName>
    <definedName name="af" localSheetId="2">#REF!</definedName>
    <definedName name="af" localSheetId="3">#REF!</definedName>
    <definedName name="af" localSheetId="0">#REF!</definedName>
    <definedName name="af">#REF!</definedName>
    <definedName name="ag" localSheetId="4">#REF!</definedName>
    <definedName name="ag" localSheetId="1">#REF!</definedName>
    <definedName name="ag" localSheetId="2">#REF!</definedName>
    <definedName name="ag" localSheetId="3">#REF!</definedName>
    <definedName name="ag" localSheetId="0">#REF!</definedName>
    <definedName name="ag">#REF!</definedName>
    <definedName name="_xlnm.Print_Area" localSheetId="4">'CPU 01 - SERVIÇOS PRELIMINARES'!$A$1:$H$53</definedName>
    <definedName name="_xlnm.Print_Area" localSheetId="5">'CPU 02'!$A$1:$G$12</definedName>
    <definedName name="_xlnm.Print_Area" localSheetId="1">'Cronograma '!$A$1:$G$27</definedName>
    <definedName name="_xlnm.Print_Area" localSheetId="2">'Memória de cálculo'!$A$1:$E$27</definedName>
    <definedName name="_xlnm.Print_Area" localSheetId="0">'Planilha - CICLOVIA'!$A$1:$J$46</definedName>
    <definedName name="BALTO" localSheetId="4">#REF!</definedName>
    <definedName name="BALTO" localSheetId="1">#REF!</definedName>
    <definedName name="BALTO" localSheetId="2">#REF!</definedName>
    <definedName name="BALTO" localSheetId="3">#REF!</definedName>
    <definedName name="BALTO" localSheetId="0">#REF!</definedName>
    <definedName name="BALTO">#REF!</definedName>
    <definedName name="cho" localSheetId="4">#REF!</definedName>
    <definedName name="cho" localSheetId="1">#REF!</definedName>
    <definedName name="cho" localSheetId="2">#REF!</definedName>
    <definedName name="cho" localSheetId="3">#REF!</definedName>
    <definedName name="cho" localSheetId="0">#REF!</definedName>
    <definedName name="cho">#REF!</definedName>
    <definedName name="ci" localSheetId="4">#REF!</definedName>
    <definedName name="ci" localSheetId="1">#REF!</definedName>
    <definedName name="ci" localSheetId="2">#REF!</definedName>
    <definedName name="ci" localSheetId="3">#REF!</definedName>
    <definedName name="ci" localSheetId="0">#REF!</definedName>
    <definedName name="ci">#REF!</definedName>
    <definedName name="COD_ATRIUM" localSheetId="4">#REF!</definedName>
    <definedName name="COD_ATRIUM" localSheetId="1">#REF!</definedName>
    <definedName name="COD_ATRIUM" localSheetId="2">#REF!</definedName>
    <definedName name="COD_ATRIUM" localSheetId="3">#REF!</definedName>
    <definedName name="COD_ATRIUM" localSheetId="0">#REF!</definedName>
    <definedName name="COD_ATRIUM">#REF!</definedName>
    <definedName name="COD_SINAPI" localSheetId="4">#REF!</definedName>
    <definedName name="COD_SINAPI" localSheetId="1">#REF!</definedName>
    <definedName name="COD_SINAPI" localSheetId="2">#REF!</definedName>
    <definedName name="COD_SINAPI" localSheetId="3">#REF!</definedName>
    <definedName name="COD_SINAPI" localSheetId="0">#REF!</definedName>
    <definedName name="COD_SINAPI">#REF!</definedName>
    <definedName name="jazida5" localSheetId="4">#REF!</definedName>
    <definedName name="jazida5" localSheetId="1">#REF!</definedName>
    <definedName name="jazida5" localSheetId="2">#REF!</definedName>
    <definedName name="jazida5" localSheetId="3">#REF!</definedName>
    <definedName name="jazida5" localSheetId="0">#REF!</definedName>
    <definedName name="jazida5">#REF!</definedName>
    <definedName name="jazida6" localSheetId="4">#REF!</definedName>
    <definedName name="jazida6" localSheetId="1">#REF!</definedName>
    <definedName name="jazida6" localSheetId="2">#REF!</definedName>
    <definedName name="jazida6" localSheetId="3">#REF!</definedName>
    <definedName name="jazida6" localSheetId="0">#REF!</definedName>
    <definedName name="jazida6">#REF!</definedName>
    <definedName name="ls" localSheetId="4">#REF!</definedName>
    <definedName name="ls" localSheetId="1">#REF!</definedName>
    <definedName name="ls" localSheetId="2">#REF!</definedName>
    <definedName name="ls" localSheetId="3">#REF!</definedName>
    <definedName name="ls" localSheetId="0">#REF!</definedName>
    <definedName name="ls">#REF!</definedName>
    <definedName name="lub" localSheetId="4">#REF!</definedName>
    <definedName name="lub" localSheetId="1">#REF!</definedName>
    <definedName name="lub" localSheetId="2">#REF!</definedName>
    <definedName name="lub" localSheetId="3">#REF!</definedName>
    <definedName name="lub" localSheetId="0">#REF!</definedName>
    <definedName name="lub">#REF!</definedName>
    <definedName name="meio" localSheetId="4">#REF!</definedName>
    <definedName name="meio" localSheetId="1">#REF!</definedName>
    <definedName name="meio" localSheetId="2">#REF!</definedName>
    <definedName name="meio" localSheetId="3">#REF!</definedName>
    <definedName name="meio" localSheetId="0">#REF!</definedName>
    <definedName name="meio">#REF!</definedName>
    <definedName name="od" localSheetId="4">#REF!</definedName>
    <definedName name="od" localSheetId="1">#REF!</definedName>
    <definedName name="od" localSheetId="2">#REF!</definedName>
    <definedName name="od" localSheetId="3">#REF!</definedName>
    <definedName name="od" localSheetId="0">#REF!</definedName>
    <definedName name="od">#REF!</definedName>
    <definedName name="of" localSheetId="4">#REF!</definedName>
    <definedName name="of" localSheetId="1">#REF!</definedName>
    <definedName name="of" localSheetId="2">#REF!</definedName>
    <definedName name="of" localSheetId="3">#REF!</definedName>
    <definedName name="of" localSheetId="0">#REF!</definedName>
    <definedName name="of">#REF!</definedName>
    <definedName name="pdm" localSheetId="4">#REF!</definedName>
    <definedName name="pdm" localSheetId="1">#REF!</definedName>
    <definedName name="pdm" localSheetId="2">#REF!</definedName>
    <definedName name="pdm" localSheetId="3">#REF!</definedName>
    <definedName name="pdm" localSheetId="0">#REF!</definedName>
    <definedName name="pdm">#REF!</definedName>
    <definedName name="pedra" localSheetId="4">#REF!</definedName>
    <definedName name="pedra" localSheetId="1">#REF!</definedName>
    <definedName name="pedra" localSheetId="2">#REF!</definedName>
    <definedName name="pedra" localSheetId="3">#REF!</definedName>
    <definedName name="pedra" localSheetId="0">#REF!</definedName>
    <definedName name="pedra">#REF!</definedName>
    <definedName name="port" localSheetId="4">#REF!</definedName>
    <definedName name="port" localSheetId="1">#REF!</definedName>
    <definedName name="port" localSheetId="2">#REF!</definedName>
    <definedName name="port" localSheetId="3">#REF!</definedName>
    <definedName name="port" localSheetId="0">#REF!</definedName>
    <definedName name="port">#REF!</definedName>
    <definedName name="PREF" localSheetId="4">#REF!</definedName>
    <definedName name="PREF" localSheetId="1">#REF!</definedName>
    <definedName name="PREF" localSheetId="2">#REF!</definedName>
    <definedName name="PREF" localSheetId="3">#REF!</definedName>
    <definedName name="PREF" localSheetId="0">#REF!</definedName>
    <definedName name="PREF">#REF!</definedName>
    <definedName name="ruas" localSheetId="4">#REF!</definedName>
    <definedName name="ruas" localSheetId="1">#REF!</definedName>
    <definedName name="ruas" localSheetId="2">#REF!</definedName>
    <definedName name="ruas" localSheetId="3">#REF!</definedName>
    <definedName name="ruas" localSheetId="0">#REF!</definedName>
    <definedName name="ruas">#REF!</definedName>
    <definedName name="s" localSheetId="4">#REF!</definedName>
    <definedName name="s" localSheetId="1">#REF!</definedName>
    <definedName name="s" localSheetId="2">#REF!</definedName>
    <definedName name="s" localSheetId="3">#REF!</definedName>
    <definedName name="s" localSheetId="0">#REF!</definedName>
    <definedName name="s">#REF!</definedName>
    <definedName name="se" localSheetId="4">#REF!</definedName>
    <definedName name="se" localSheetId="1">#REF!</definedName>
    <definedName name="se" localSheetId="2">#REF!</definedName>
    <definedName name="se" localSheetId="3">#REF!</definedName>
    <definedName name="se" localSheetId="0">#REF!</definedName>
    <definedName name="se">#REF!</definedName>
    <definedName name="sx" localSheetId="4">#REF!</definedName>
    <definedName name="sx" localSheetId="1">#REF!</definedName>
    <definedName name="sx" localSheetId="2">#REF!</definedName>
    <definedName name="sx" localSheetId="3">#REF!</definedName>
    <definedName name="sx" localSheetId="0">#REF!</definedName>
    <definedName name="sx">#REF!</definedName>
    <definedName name="tb100cm" localSheetId="4">#REF!</definedName>
    <definedName name="tb100cm" localSheetId="1">#REF!</definedName>
    <definedName name="tb100cm" localSheetId="2">#REF!</definedName>
    <definedName name="tb100cm" localSheetId="3">#REF!</definedName>
    <definedName name="tb100cm" localSheetId="0">#REF!</definedName>
    <definedName name="tb100cm">#REF!</definedName>
    <definedName name="_xlnm.Print_Titles" localSheetId="0">'Planilha - CICLOVIA'!$4:$10</definedName>
    <definedName name="total" localSheetId="4">#REF!</definedName>
    <definedName name="total" localSheetId="1">#REF!</definedName>
    <definedName name="total" localSheetId="2">#REF!</definedName>
    <definedName name="total" localSheetId="3">#REF!</definedName>
    <definedName name="total" localSheetId="0">#REF!</definedName>
    <definedName name="total">#REF!</definedName>
  </definedNames>
  <calcPr calcId="152511" iterate="1"/>
</workbook>
</file>

<file path=xl/calcChain.xml><?xml version="1.0" encoding="utf-8"?>
<calcChain xmlns="http://schemas.openxmlformats.org/spreadsheetml/2006/main">
  <c r="H9" i="70" l="1"/>
  <c r="H10" i="70"/>
  <c r="E39" i="70" l="1"/>
  <c r="E70" i="70"/>
  <c r="E23" i="83" l="1"/>
  <c r="D36" i="77"/>
  <c r="G50" i="78" l="1"/>
  <c r="F50" i="78"/>
  <c r="E50" i="78"/>
  <c r="D50" i="78"/>
  <c r="G46" i="78"/>
  <c r="F46" i="78"/>
  <c r="E46" i="78"/>
  <c r="D46" i="78"/>
  <c r="G39" i="78"/>
  <c r="G52" i="78" s="1"/>
  <c r="F39" i="78"/>
  <c r="F52" i="78" s="1"/>
  <c r="E39" i="78"/>
  <c r="E52" i="78" s="1"/>
  <c r="D39" i="78"/>
  <c r="G27" i="78"/>
  <c r="F27" i="78"/>
  <c r="E27" i="78"/>
  <c r="D27" i="78"/>
  <c r="D52" i="78" s="1"/>
  <c r="D29" i="77"/>
  <c r="I27" i="77"/>
  <c r="D26" i="77"/>
  <c r="D21" i="77"/>
  <c r="D17" i="77"/>
  <c r="H66" i="70"/>
  <c r="H65" i="70"/>
  <c r="H64" i="70"/>
  <c r="H63" i="70"/>
  <c r="H62" i="70"/>
  <c r="H61" i="70"/>
  <c r="H60" i="70"/>
  <c r="H59" i="70"/>
  <c r="H58" i="70"/>
  <c r="H67" i="70" s="1"/>
  <c r="E54" i="70"/>
  <c r="H51" i="70"/>
  <c r="G23" i="81" s="1"/>
  <c r="H50" i="70"/>
  <c r="H49" i="70"/>
  <c r="H48" i="70"/>
  <c r="H47" i="70"/>
  <c r="H46" i="70"/>
  <c r="H45" i="70"/>
  <c r="H44" i="70"/>
  <c r="H35" i="70"/>
  <c r="H34" i="70"/>
  <c r="H33" i="70"/>
  <c r="H32" i="70"/>
  <c r="H36" i="70" s="1"/>
  <c r="G38" i="81" s="1"/>
  <c r="E27" i="70"/>
  <c r="H23" i="70"/>
  <c r="H22" i="70"/>
  <c r="H21" i="70"/>
  <c r="H20" i="70"/>
  <c r="H19" i="70"/>
  <c r="H18" i="70"/>
  <c r="H17" i="70"/>
  <c r="H16" i="70"/>
  <c r="H24" i="70" s="1"/>
  <c r="G35" i="81" s="1"/>
  <c r="A7" i="70"/>
  <c r="H50" i="74"/>
  <c r="H49" i="74"/>
  <c r="H48" i="74"/>
  <c r="H47" i="74"/>
  <c r="H46" i="74"/>
  <c r="H45" i="74"/>
  <c r="H39" i="74"/>
  <c r="H38" i="74"/>
  <c r="H37" i="74"/>
  <c r="H36" i="74"/>
  <c r="H35" i="74"/>
  <c r="H34" i="74"/>
  <c r="H33" i="74"/>
  <c r="H32" i="74"/>
  <c r="H31" i="74"/>
  <c r="H30" i="74"/>
  <c r="H24" i="74"/>
  <c r="H23" i="74"/>
  <c r="H15" i="74"/>
  <c r="H14" i="74"/>
  <c r="A7" i="74"/>
  <c r="H23" i="84"/>
  <c r="F26" i="84" s="1"/>
  <c r="F25" i="74" s="1"/>
  <c r="H25" i="74" s="1"/>
  <c r="A5" i="84"/>
  <c r="C26" i="83"/>
  <c r="B26" i="83"/>
  <c r="A26" i="83"/>
  <c r="E25" i="83"/>
  <c r="F42" i="81" s="1"/>
  <c r="C25" i="83"/>
  <c r="B25" i="83"/>
  <c r="A25" i="83"/>
  <c r="Q24" i="83"/>
  <c r="B24" i="83"/>
  <c r="A24" i="83"/>
  <c r="F38" i="81"/>
  <c r="C23" i="83"/>
  <c r="B23" i="83"/>
  <c r="A23" i="83"/>
  <c r="B22" i="83"/>
  <c r="A22" i="83"/>
  <c r="C21" i="83"/>
  <c r="B21" i="83"/>
  <c r="A21" i="83"/>
  <c r="C20" i="83"/>
  <c r="B20" i="83"/>
  <c r="A20" i="83"/>
  <c r="C19" i="83"/>
  <c r="B19" i="83"/>
  <c r="A19" i="83"/>
  <c r="O18" i="83"/>
  <c r="C18" i="83"/>
  <c r="B18" i="83"/>
  <c r="A18" i="83"/>
  <c r="O17" i="83"/>
  <c r="C17" i="83"/>
  <c r="B17" i="83"/>
  <c r="A17" i="83"/>
  <c r="C16" i="83"/>
  <c r="B16" i="83"/>
  <c r="A16" i="83"/>
  <c r="C15" i="83"/>
  <c r="B15" i="83"/>
  <c r="A15" i="83"/>
  <c r="C14" i="83"/>
  <c r="B14" i="83"/>
  <c r="A14" i="83"/>
  <c r="K13" i="83"/>
  <c r="E16" i="83" s="1"/>
  <c r="F30" i="81" s="1"/>
  <c r="C13" i="83"/>
  <c r="B13" i="83"/>
  <c r="A13" i="83"/>
  <c r="B12" i="83"/>
  <c r="A12" i="83"/>
  <c r="B11" i="83"/>
  <c r="A11" i="83"/>
  <c r="E10" i="83"/>
  <c r="F18" i="81" s="1"/>
  <c r="C10" i="83"/>
  <c r="B10" i="83"/>
  <c r="A10" i="83"/>
  <c r="C9" i="83"/>
  <c r="B9" i="83"/>
  <c r="A9" i="83"/>
  <c r="Q8" i="83"/>
  <c r="H8" i="83"/>
  <c r="H10" i="83" s="1"/>
  <c r="E13" i="83" s="1"/>
  <c r="B8" i="83"/>
  <c r="A8" i="83"/>
  <c r="A5" i="83"/>
  <c r="B21" i="82"/>
  <c r="A21" i="82"/>
  <c r="B19" i="82"/>
  <c r="A19" i="82"/>
  <c r="B17" i="82"/>
  <c r="A17" i="82"/>
  <c r="B15" i="82"/>
  <c r="A15" i="82"/>
  <c r="B13" i="82"/>
  <c r="A13" i="82"/>
  <c r="B11" i="82"/>
  <c r="A11" i="82"/>
  <c r="A5" i="82"/>
  <c r="F43" i="81"/>
  <c r="L42" i="81"/>
  <c r="L22" i="81"/>
  <c r="F19" i="81"/>
  <c r="H51" i="74" l="1"/>
  <c r="H10" i="74"/>
  <c r="G7" i="81"/>
  <c r="H52" i="70"/>
  <c r="H53" i="70" s="1"/>
  <c r="H54" i="70" s="1"/>
  <c r="H9" i="74"/>
  <c r="E52" i="74" s="1"/>
  <c r="D7" i="81"/>
  <c r="J15" i="83"/>
  <c r="A26" i="84"/>
  <c r="H40" i="74"/>
  <c r="K10" i="83"/>
  <c r="E14" i="83" s="1"/>
  <c r="F28" i="81" s="1"/>
  <c r="E41" i="74"/>
  <c r="H41" i="74" s="1"/>
  <c r="H42" i="74" s="1"/>
  <c r="H17" i="81" s="1"/>
  <c r="E17" i="74"/>
  <c r="E19" i="83"/>
  <c r="F33" i="81" s="1"/>
  <c r="E9" i="83"/>
  <c r="F22" i="81" s="1"/>
  <c r="L15" i="83"/>
  <c r="F23" i="81"/>
  <c r="E21" i="83"/>
  <c r="F35" i="81" s="1"/>
  <c r="H15" i="83"/>
  <c r="E15" i="83" s="1"/>
  <c r="F29" i="81" s="1"/>
  <c r="E17" i="83"/>
  <c r="F27" i="81"/>
  <c r="H16" i="74"/>
  <c r="G12" i="81" s="1"/>
  <c r="H26" i="74"/>
  <c r="G15" i="81" s="1"/>
  <c r="E27" i="74"/>
  <c r="H52" i="74" l="1"/>
  <c r="H53" i="74" s="1"/>
  <c r="H18" i="81" s="1"/>
  <c r="H22" i="81"/>
  <c r="I22" i="81" s="1"/>
  <c r="J22" i="81" s="1"/>
  <c r="H27" i="81"/>
  <c r="I27" i="81" s="1"/>
  <c r="J27" i="81" s="1"/>
  <c r="G52" i="70"/>
  <c r="G37" i="70"/>
  <c r="G68" i="70"/>
  <c r="H42" i="81"/>
  <c r="I42" i="81" s="1"/>
  <c r="J42" i="81" s="1"/>
  <c r="G25" i="70"/>
  <c r="H43" i="81"/>
  <c r="I43" i="81" s="1"/>
  <c r="J43" i="81" s="1"/>
  <c r="H31" i="81"/>
  <c r="H23" i="81"/>
  <c r="I23" i="81" s="1"/>
  <c r="J23" i="81" s="1"/>
  <c r="H33" i="81"/>
  <c r="I33" i="81" s="1"/>
  <c r="J33" i="81" s="1"/>
  <c r="H19" i="81"/>
  <c r="I19" i="81" s="1"/>
  <c r="J19" i="81" s="1"/>
  <c r="H38" i="81"/>
  <c r="I38" i="81" s="1"/>
  <c r="J38" i="81" s="1"/>
  <c r="J39" i="81" s="1"/>
  <c r="C19" i="82" s="1"/>
  <c r="H32" i="81"/>
  <c r="H14" i="81"/>
  <c r="I14" i="81" s="1"/>
  <c r="J14" i="81" s="1"/>
  <c r="H13" i="81"/>
  <c r="I13" i="81" s="1"/>
  <c r="J13" i="81" s="1"/>
  <c r="G18" i="81"/>
  <c r="H34" i="81"/>
  <c r="H30" i="81"/>
  <c r="I30" i="81" s="1"/>
  <c r="J30" i="81" s="1"/>
  <c r="H28" i="81"/>
  <c r="I28" i="81" s="1"/>
  <c r="J28" i="81" s="1"/>
  <c r="H25" i="70"/>
  <c r="H26" i="70" s="1"/>
  <c r="H27" i="70" s="1"/>
  <c r="H29" i="81"/>
  <c r="I29" i="81" s="1"/>
  <c r="J29" i="81" s="1"/>
  <c r="H68" i="70"/>
  <c r="H69" i="70" s="1"/>
  <c r="H70" i="70" s="1"/>
  <c r="H35" i="81"/>
  <c r="I35" i="81" s="1"/>
  <c r="J35" i="81" s="1"/>
  <c r="H37" i="70"/>
  <c r="H38" i="70" s="1"/>
  <c r="H39" i="70" s="1"/>
  <c r="H12" i="81"/>
  <c r="H15" i="81"/>
  <c r="I15" i="81" s="1"/>
  <c r="H21" i="83"/>
  <c r="H13" i="83"/>
  <c r="F31" i="81"/>
  <c r="E20" i="83"/>
  <c r="F34" i="81" s="1"/>
  <c r="H17" i="74"/>
  <c r="H18" i="74" s="1"/>
  <c r="H19" i="74" s="1"/>
  <c r="H20" i="74" s="1"/>
  <c r="G16" i="81"/>
  <c r="H27" i="74"/>
  <c r="H28" i="74" s="1"/>
  <c r="G17" i="81"/>
  <c r="I17" i="81"/>
  <c r="I18" i="81"/>
  <c r="I31" i="81" l="1"/>
  <c r="J31" i="81" s="1"/>
  <c r="I39" i="81"/>
  <c r="J44" i="81"/>
  <c r="C21" i="82" s="1"/>
  <c r="D21" i="82" s="1"/>
  <c r="N38" i="81"/>
  <c r="N39" i="81" s="1"/>
  <c r="L38" i="81"/>
  <c r="L39" i="81" s="1"/>
  <c r="G19" i="82"/>
  <c r="G20" i="82" s="1"/>
  <c r="I44" i="81"/>
  <c r="M19" i="81"/>
  <c r="N30" i="81"/>
  <c r="L30" i="81"/>
  <c r="I34" i="81"/>
  <c r="J34" i="81" s="1"/>
  <c r="L28" i="81"/>
  <c r="N28" i="81"/>
  <c r="N27" i="81"/>
  <c r="I12" i="81"/>
  <c r="M12" i="81" s="1"/>
  <c r="M17" i="81"/>
  <c r="J17" i="81"/>
  <c r="D19" i="82"/>
  <c r="D20" i="82" s="1"/>
  <c r="M15" i="81"/>
  <c r="J15" i="81"/>
  <c r="M18" i="81"/>
  <c r="J18" i="81"/>
  <c r="L29" i="81"/>
  <c r="E19" i="82"/>
  <c r="E20" i="82" s="1"/>
  <c r="N33" i="81"/>
  <c r="F19" i="82"/>
  <c r="F20" i="82" s="1"/>
  <c r="I24" i="81"/>
  <c r="J24" i="81"/>
  <c r="C13" i="82" s="1"/>
  <c r="L27" i="81"/>
  <c r="L35" i="81"/>
  <c r="N35" i="81"/>
  <c r="N29" i="81"/>
  <c r="H16" i="81"/>
  <c r="I16" i="81" s="1"/>
  <c r="L33" i="81"/>
  <c r="H24" i="83"/>
  <c r="E18" i="83"/>
  <c r="F32" i="81" s="1"/>
  <c r="I32" i="81" s="1"/>
  <c r="J32" i="81" s="1"/>
  <c r="L31" i="81"/>
  <c r="N31" i="81" l="1"/>
  <c r="N40" i="81"/>
  <c r="L40" i="81"/>
  <c r="N34" i="81"/>
  <c r="G21" i="82"/>
  <c r="G22" i="82" s="1"/>
  <c r="F21" i="82"/>
  <c r="F22" i="82" s="1"/>
  <c r="E21" i="82"/>
  <c r="E22" i="82" s="1"/>
  <c r="L34" i="81"/>
  <c r="L36" i="81" s="1"/>
  <c r="F14" i="82"/>
  <c r="J12" i="81"/>
  <c r="O12" i="81"/>
  <c r="O20" i="81" s="1"/>
  <c r="L9" i="81"/>
  <c r="N12" i="81"/>
  <c r="N20" i="81" s="1"/>
  <c r="G14" i="82"/>
  <c r="M16" i="81"/>
  <c r="M20" i="81" s="1"/>
  <c r="J16" i="81"/>
  <c r="I36" i="81"/>
  <c r="J36" i="81"/>
  <c r="E14" i="82"/>
  <c r="H19" i="82"/>
  <c r="D13" i="82"/>
  <c r="D14" i="82" s="1"/>
  <c r="I20" i="81"/>
  <c r="L4" i="81"/>
  <c r="H26" i="83"/>
  <c r="K26" i="83"/>
  <c r="D22" i="82"/>
  <c r="N36" i="81" l="1"/>
  <c r="N37" i="81" s="1"/>
  <c r="H21" i="82"/>
  <c r="L10" i="81"/>
  <c r="J40" i="81"/>
  <c r="C15" i="82" s="1"/>
  <c r="C17" i="82"/>
  <c r="F17" i="82" s="1"/>
  <c r="F18" i="82" s="1"/>
  <c r="J20" i="81"/>
  <c r="C11" i="82" s="1"/>
  <c r="H13" i="82"/>
  <c r="L37" i="81"/>
  <c r="I40" i="81"/>
  <c r="O25" i="81"/>
  <c r="M4" i="81"/>
  <c r="N25" i="81"/>
  <c r="M25" i="81"/>
  <c r="E17" i="82" l="1"/>
  <c r="E15" i="82" s="1"/>
  <c r="E16" i="82" s="1"/>
  <c r="D17" i="82"/>
  <c r="D18" i="82" s="1"/>
  <c r="G17" i="82"/>
  <c r="G18" i="82" s="1"/>
  <c r="O37" i="81"/>
  <c r="J46" i="81"/>
  <c r="G11" i="82"/>
  <c r="F11" i="82"/>
  <c r="F12" i="82" s="1"/>
  <c r="F15" i="82"/>
  <c r="I46" i="81"/>
  <c r="L12" i="81" s="1"/>
  <c r="G12" i="82"/>
  <c r="D11" i="82"/>
  <c r="D12" i="82" s="1"/>
  <c r="E11" i="82"/>
  <c r="C23" i="82"/>
  <c r="G15" i="82" l="1"/>
  <c r="G23" i="82" s="1"/>
  <c r="G25" i="82" s="1"/>
  <c r="H17" i="82"/>
  <c r="E23" i="82"/>
  <c r="E25" i="82" s="1"/>
  <c r="D15" i="82"/>
  <c r="D16" i="82" s="1"/>
  <c r="E18" i="82"/>
  <c r="F16" i="82"/>
  <c r="F23" i="82"/>
  <c r="F25" i="82" s="1"/>
  <c r="H11" i="82"/>
  <c r="E12" i="82"/>
  <c r="D23" i="82" l="1"/>
  <c r="D25" i="82" s="1"/>
  <c r="D27" i="82" s="1"/>
  <c r="E27" i="82" s="1"/>
  <c r="F27" i="82" s="1"/>
  <c r="G27" i="82" s="1"/>
  <c r="G16" i="82"/>
  <c r="H15" i="82"/>
  <c r="H25" i="82" l="1"/>
  <c r="D26" i="82"/>
  <c r="E26" i="82" s="1"/>
  <c r="G26" i="82" s="1"/>
  <c r="H23" i="82"/>
  <c r="F26" i="82" l="1"/>
</calcChain>
</file>

<file path=xl/sharedStrings.xml><?xml version="1.0" encoding="utf-8"?>
<sst xmlns="http://schemas.openxmlformats.org/spreadsheetml/2006/main" count="667" uniqueCount="371">
  <si>
    <t xml:space="preserve">        MINISTÉRIO DO DESENVOLVIMENTO REGIONAL</t>
  </si>
  <si>
    <t xml:space="preserve">        COMPANHIA DE DESENVOLVIMENTO DOS VALES DO SÃO FRANCISCO E DO PARNAÍBA</t>
  </si>
  <si>
    <t xml:space="preserve">        2.ª GRD da 2ª SUPERINTENDÊNCIA REGIONAL- Bom Jesus da Lapa/Ba.</t>
  </si>
  <si>
    <t>EXECUÇÃO DE OBRAS/SERVIÇOS OBJETIVANDO A IMPLANTAÇÃO DE CICLOVIA EM TRECHO DA RODOVIA BA 800, QUE LIGA IRECÊ AO DISTRITO DE MEIA-HORA, NO MUNICÍPIO DE IRECÊ/BA, NA ÁREA DE ATUAÇÃO DA 2ª SUPERINTENDÊNCIA REGIONAL DA CODEVASF, NO ESTADO DA BAHIA</t>
  </si>
  <si>
    <t xml:space="preserve">BDI SERVIÇOS:                                               </t>
  </si>
  <si>
    <t xml:space="preserve">ENCARGOS SOCIAIS: </t>
  </si>
  <si>
    <t>BASE:</t>
  </si>
  <si>
    <t>SINAPI: OUTUBRO/2021; ORSE: SETEMBRO/2021; SICRO: JULHO/2021</t>
  </si>
  <si>
    <t>PLANILHA ORÇAMENTÁRIA - CICLOVIA</t>
  </si>
  <si>
    <t>ITEM</t>
  </si>
  <si>
    <t>REFERÊNCIA</t>
  </si>
  <si>
    <t>CÓDIGO</t>
  </si>
  <si>
    <t>DISCRIMINAÇÃO DOS SERVIÇOS</t>
  </si>
  <si>
    <t>UND</t>
  </si>
  <si>
    <t>QUANTITATIVO</t>
  </si>
  <si>
    <t>PREÇO UNITÁRIO (SEM BDI) (R$)</t>
  </si>
  <si>
    <t>SERVIÇOS PRELIMINARES</t>
  </si>
  <si>
    <t>1.1</t>
  </si>
  <si>
    <t>CODEVASF</t>
  </si>
  <si>
    <t>Administração local e Manutenção do Canteiro.</t>
  </si>
  <si>
    <t>global</t>
  </si>
  <si>
    <t>1.2</t>
  </si>
  <si>
    <t>CPU-02</t>
  </si>
  <si>
    <t xml:space="preserve">Mobilização </t>
  </si>
  <si>
    <t>und</t>
  </si>
  <si>
    <t>1.3</t>
  </si>
  <si>
    <t xml:space="preserve">Desmobilização </t>
  </si>
  <si>
    <t>CPU-03</t>
  </si>
  <si>
    <t>Placa de obra em chapa de aço galvanizada (3,60 X 1,80m).</t>
  </si>
  <si>
    <t>m²</t>
  </si>
  <si>
    <t>1.5</t>
  </si>
  <si>
    <t>CPU-04</t>
  </si>
  <si>
    <t>Serviços topográficos</t>
  </si>
  <si>
    <t>1.6</t>
  </si>
  <si>
    <t>ORSE</t>
  </si>
  <si>
    <t>Projeto de sinalização vertical e horizontal</t>
  </si>
  <si>
    <t>km</t>
  </si>
  <si>
    <t>TOTAL DO ITEM 1</t>
  </si>
  <si>
    <t>TERRAPLENAGEM</t>
  </si>
  <si>
    <t>2.1</t>
  </si>
  <si>
    <t>SINAPI</t>
  </si>
  <si>
    <t>limpeza mecanizada de camada vegetal, vegetação e pequenas árvores (diâmetro de tronco menor que 0,20 m), com trator de esteiras.af_05/2018</t>
  </si>
  <si>
    <t>M2</t>
  </si>
  <si>
    <t>2.2</t>
  </si>
  <si>
    <t>CPU-28</t>
  </si>
  <si>
    <t>regularização e compactação de subleito de solo predominantemente argiloso</t>
  </si>
  <si>
    <t>TOTAL DO ITEM 2</t>
  </si>
  <si>
    <t xml:space="preserve"> PAVIMENTAÇÃO E GUIAS</t>
  </si>
  <si>
    <t>3.1</t>
  </si>
  <si>
    <t>Intertravado</t>
  </si>
  <si>
    <t>3.1.1</t>
  </si>
  <si>
    <t>SICRO</t>
  </si>
  <si>
    <t>Base ou sub-base de brita graduada com brita comercial (10 cm de espessura)</t>
  </si>
  <si>
    <t>m³</t>
  </si>
  <si>
    <t>3.1.2</t>
  </si>
  <si>
    <t>Transporte com caminhão basculante de 14 m³, em via urbana em leito natural (material de base, areia, piso intertravado), DMT de 5 km</t>
  </si>
  <si>
    <t>m³xkm</t>
  </si>
  <si>
    <t>3.1.3</t>
  </si>
  <si>
    <t>Escavação manual de vala com profundidade menor ou igual a 1,30 m c 02/2021</t>
  </si>
  <si>
    <t>3.1.4</t>
  </si>
  <si>
    <t>Lastro de concreto magro, aplicado em pisos, lajes sobre solo ou radier, espessura de 3 cm.</t>
  </si>
  <si>
    <t>3.1.5</t>
  </si>
  <si>
    <t>Assentamento de guia (meio-fio) em trecho reto, confeccionada em concreto pré-fabricado, dimensões 80x08x08x25 cm (comprimento x base inferior x base superior x altura), para urbanização. (externo)</t>
  </si>
  <si>
    <t>m</t>
  </si>
  <si>
    <t>3.1.6</t>
  </si>
  <si>
    <t>reaterro manual apiloado com soquete. af_10/2017</t>
  </si>
  <si>
    <t>M³</t>
  </si>
  <si>
    <t>3.1.7</t>
  </si>
  <si>
    <t>Meio fio de concreto - MFC 03 - areia e brita comerciais - Fôrma de madeira (interno - meio fio com sarjeta)</t>
  </si>
  <si>
    <t>3.1.8</t>
  </si>
  <si>
    <t>Pintura de meio fio com tinta branca a base de cal (caiação)</t>
  </si>
  <si>
    <t>3.1.9</t>
  </si>
  <si>
    <t>CPU-06</t>
  </si>
  <si>
    <t>Execução de passeio em piso intertravado, com bloco retangular colorido (vermelho) de 20 x 10  cm, espessura de 6 cm.</t>
  </si>
  <si>
    <t>TOTAL DO SUB-ITEM 3.1</t>
  </si>
  <si>
    <t>3.2</t>
  </si>
  <si>
    <t>Acessibilidade</t>
  </si>
  <si>
    <t>3.2.1</t>
  </si>
  <si>
    <t>CPU-14</t>
  </si>
  <si>
    <t>Execução de rampa de acesso (encontro com as vias existentes)</t>
  </si>
  <si>
    <t>TOTAL DO SUB-ITEM 3.2</t>
  </si>
  <si>
    <t>TOTAL DO ITEM 3</t>
  </si>
  <si>
    <t>SINALIZAÇÃO</t>
  </si>
  <si>
    <t>4.1</t>
  </si>
  <si>
    <t>Sinalização horizontal rodoviária, com tinta retrorrefletiva à base de resina acrílica com microesferas de vidro</t>
  </si>
  <si>
    <t>4.2</t>
  </si>
  <si>
    <t>Confecção, montagem e instalação de placa de sinalização em chapa de aço galvanizado nº 18 (60x50 cm), com 02 demãos de fundo anti-corrosivo (super galvite ou similar), 02 demãos de esmalte e mensagem em película refletiva, auto-adesiva</t>
  </si>
  <si>
    <t>TOTAL DO ITEM 4</t>
  </si>
  <si>
    <t>TOTAL GERAL (R$)</t>
  </si>
  <si>
    <t>valor a chegar R$ 95.500,00</t>
  </si>
  <si>
    <t>MINISTÉRIO DO DESENVOLVIMENTO REGIONAL</t>
  </si>
  <si>
    <t xml:space="preserve">                            COMPANHIA DE DESENVOLVIMENTO DOS VALES DO SÃO FRANCISCO E DO PARNAÍBA</t>
  </si>
  <si>
    <t>2.ª GRD da 2ª SUPERINTENDÊNCIA REGIONAL- Bom Jesus da Lapa/Ba.</t>
  </si>
  <si>
    <t xml:space="preserve">CRONOGRAMA FÍSICO/FINANCEIRO - CICLOVIA </t>
  </si>
  <si>
    <t xml:space="preserve">ITEM </t>
  </si>
  <si>
    <t>DISCRIMINAÇÃO</t>
  </si>
  <si>
    <t>VALOR (R$)</t>
  </si>
  <si>
    <t>1º  Mês</t>
  </si>
  <si>
    <t>2º  Mês</t>
  </si>
  <si>
    <t>3º  Mês</t>
  </si>
  <si>
    <t>4º  Mês</t>
  </si>
  <si>
    <t>TOTAIS</t>
  </si>
  <si>
    <t>% DO ITEM</t>
  </si>
  <si>
    <t>TOTAL ACUMULADO</t>
  </si>
  <si>
    <t>% ACUMULADA</t>
  </si>
  <si>
    <t xml:space="preserve">                          COMPANHIA DE DESENVOLVIMENTO DOS VALES DO SÃO FRANCISCO E DO PARNAÍBA</t>
  </si>
  <si>
    <t>comprimento</t>
  </si>
  <si>
    <t>largura</t>
  </si>
  <si>
    <t>MEMÓRIA DE CÁLCULO - CICLOVIA</t>
  </si>
  <si>
    <t>vias</t>
  </si>
  <si>
    <t>área total</t>
  </si>
  <si>
    <t xml:space="preserve">(área a construir) </t>
  </si>
  <si>
    <t>base</t>
  </si>
  <si>
    <t xml:space="preserve">transporte </t>
  </si>
  <si>
    <t xml:space="preserve">meio fio </t>
  </si>
  <si>
    <t>escavação</t>
  </si>
  <si>
    <t>comp. Meio fio</t>
  </si>
  <si>
    <t>altura</t>
  </si>
  <si>
    <t xml:space="preserve">linhas </t>
  </si>
  <si>
    <t>REATERRO</t>
  </si>
  <si>
    <t>(*) - Valores calculados diretamente no projeto.</t>
  </si>
  <si>
    <t>COMPANHIA DE DESENVOLVIMENTO DOS VALES DO SÃO FRANCISCO E DO PARNAÍBA</t>
  </si>
  <si>
    <t>MEMÓRIA DE CÁLCULO DOS MOMENTOS DE TRANSPORTE PARA MOBILIZAÇÃO E DESMOBILIZAÇÃO</t>
  </si>
  <si>
    <t>CICLOVIA</t>
  </si>
  <si>
    <t>Cidade pólo</t>
  </si>
  <si>
    <t>Irecê/Ba</t>
  </si>
  <si>
    <t>Cidade beneficiada</t>
  </si>
  <si>
    <t>Dist. da Origem ao destino:</t>
  </si>
  <si>
    <t xml:space="preserve"> km</t>
  </si>
  <si>
    <t>Distância Total:</t>
  </si>
  <si>
    <t>Peso das máquinas:</t>
  </si>
  <si>
    <t>Retroescavadeira</t>
  </si>
  <si>
    <t xml:space="preserve"> ton</t>
  </si>
  <si>
    <t>Grade de 24 discos rebocável de 24"</t>
  </si>
  <si>
    <t xml:space="preserve">Motoniveladora </t>
  </si>
  <si>
    <t>Rolo compactador liso vibratório 10,4 t</t>
  </si>
  <si>
    <t>Total</t>
  </si>
  <si>
    <t xml:space="preserve"> t x km</t>
  </si>
  <si>
    <t xml:space="preserve">                 MINISTÉRIO DA INTEGRAÇÃO NACIONAL</t>
  </si>
  <si>
    <t xml:space="preserve">                 COMPANHIA DE DESENVOLVIMENTO DOS VALES DO SÃO FRANCISCO E DO PARNAÍBA</t>
  </si>
  <si>
    <t xml:space="preserve">                 2.ª GRD da 2ª SUPERINTENDÊNCIA REGIONAL- Bom Jesus da Lapa/Ba.</t>
  </si>
  <si>
    <t>BDI (%):</t>
  </si>
  <si>
    <t>ENCARGOS SOCIAIS (%):</t>
  </si>
  <si>
    <t>CPU-01.A</t>
  </si>
  <si>
    <t>SEM</t>
  </si>
  <si>
    <t>ADMINISTRAÇÃO LOCAL</t>
  </si>
  <si>
    <t>MÊS</t>
  </si>
  <si>
    <t>PRECO UNITÁRIO</t>
  </si>
  <si>
    <t>TOTAL (R$)</t>
  </si>
  <si>
    <t>COMPOSICAO</t>
  </si>
  <si>
    <t>ENCARREGADO GERAL COM ENCARGOS COMPLEMENTARES</t>
  </si>
  <si>
    <t>mês</t>
  </si>
  <si>
    <t>ENGENHEIRO CIVIL DE OBRA JUNIOR COM ENCARGOS COMPLEMENTARES</t>
  </si>
  <si>
    <t>H</t>
  </si>
  <si>
    <t>Sub total:</t>
  </si>
  <si>
    <t>Total para 3 meses:</t>
  </si>
  <si>
    <t>PREÇO UNITÁRIO TOTAL:</t>
  </si>
  <si>
    <t xml:space="preserve">MOBILIZAÇÃO / DESMOBILIZAÇÃO </t>
  </si>
  <si>
    <t>TXKM</t>
  </si>
  <si>
    <t>E9667</t>
  </si>
  <si>
    <t>Caminhão basculante com capacidade de 14 m³ - 188 kW</t>
  </si>
  <si>
    <t>CHP</t>
  </si>
  <si>
    <t>E9571</t>
  </si>
  <si>
    <t>Caminhão tanque com capacidade de 10.000 l - 188 kW</t>
  </si>
  <si>
    <t>Transporte com cavalo mecânico com semirreboque, capacidade de 30 T - Rodovia pavimentada</t>
  </si>
  <si>
    <t>t.km</t>
  </si>
  <si>
    <t>PLACA DE OBRA EM CHAPA DE ACO GALVANIZADO</t>
  </si>
  <si>
    <t>INSUMO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</si>
  <si>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</si>
  <si>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</si>
  <si>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</si>
  <si>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</si>
  <si>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</si>
  <si>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</si>
  <si>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</si>
  <si>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</si>
  <si>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COMPOSIÇÃO</t>
  </si>
  <si>
    <t>BETONEIRA 320 L, DIESEL, POTENCIA DE 5,5 HP, SEM CARREGADOR MECANICO (LOCACAO)</t>
  </si>
  <si>
    <t>h</t>
  </si>
  <si>
    <t>CARPINTEIRO DE FORMAS COM ENCARGOS COMPLEMENTARES</t>
  </si>
  <si>
    <t>SERVENTE COM ENCARGOS COMPLEMENTARES</t>
  </si>
  <si>
    <t>SERVIÇOS TOPOGRÁFICOS</t>
  </si>
  <si>
    <t>SARRAFO DE MADEIRA APARELHADA *2 X 10* CM, MACARANDUBA, ANGELIM OU EQUIVALENTE DA REGIAO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</si>
  <si>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</si>
  <si>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</si>
  <si>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</si>
  <si>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</si>
  <si>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chp</t>
  </si>
  <si>
    <t xml:space="preserve">                      MINISTÉRIO DA INTEGRAÇÃO NACIONAL</t>
  </si>
  <si>
    <t xml:space="preserve">                      COMPANHIA DE DESENVOLVIMENTO DOS VALES DO SÃO FRANCISCO E DO PARNAÍBA</t>
  </si>
  <si>
    <t xml:space="preserve">                      2.ª GRD da 2ª SUPERINTENDÊNCIA REGIONAL- Bom Jesus da Lapa/Ba.</t>
  </si>
  <si>
    <t>NÃO DESONERADO</t>
  </si>
  <si>
    <t xml:space="preserve">Próprio </t>
  </si>
  <si>
    <t xml:space="preserve">EXECUÇÃO DE PASSEIO EM PISO INTERTRAVADO, COM BLOCO RETANGULAR COLORIDO DE 20 X 10 CM, ESPESSURA 6 CM </t>
  </si>
  <si>
    <t>UNID</t>
  </si>
  <si>
    <t>COEF.</t>
  </si>
  <si>
    <t>PRECO UNITÁRIO (R$)</t>
  </si>
  <si>
    <t>AREIA MEDIA - POSTO JAZIDA/FORNECEDOR (RETIRADO NA JAZIDA, SEM TRANSPORTE)</t>
  </si>
  <si>
    <t>M3</t>
  </si>
  <si>
    <t>0,0568000</t>
  </si>
  <si>
    <t>BLOQUETE/PISO INTERTRAVADO DE CONCRETO - MODELO ONDA/16 FACES/RETANGULAR/TIJOLINHO/PAVER/HOLANDÊS/PARALELEPÍPEDO, 20 X 10 CM, E = 6 CM, RESISTÊNCIA DE 35 MPA, COLORIDO</t>
  </si>
  <si>
    <t>PO DE PEDRA (POSTO PEDREIRA/FORNECEDOR, SEM FRETE)</t>
  </si>
  <si>
    <t>CALCETEIRO COM ENCARGOS COMPLEMENTARES</t>
  </si>
  <si>
    <t>COMPACTAÇÃO MANUAL DE PAVIMENTAÇÃO DE BLOCO DE CONCRETO INTERTRAVADO COM PLACA VIBRATÓRIA 400KG - 7 A 10 HP NÃO REVERSÍVEL</t>
  </si>
  <si>
    <t>M²</t>
  </si>
  <si>
    <t>91283</t>
  </si>
  <si>
    <t>CORTADORA DE PISO COM MOTOR 4 TEMPOS A GASOLINA, POTÊNCIA DE 13 HP, COM DISCO DE CORTE DIAMANTADO SEGMENTADO PARA CONCRETO, DIÂMETRO DE 350 MM, FURO DE 1" (14 X 1") - CHP DIURNO. AF_08/2015</t>
  </si>
  <si>
    <t>CHI</t>
  </si>
  <si>
    <t>BDI</t>
  </si>
  <si>
    <t>Total Serviços:</t>
  </si>
  <si>
    <t>RAMPA DE ACESSIBILIDADE</t>
  </si>
  <si>
    <t>Luminarias decorativas com chapeu refletor em aluminio, poste de 3 m, inclusive lampada de 250 w</t>
  </si>
  <si>
    <t xml:space="preserve">SINAPI </t>
  </si>
  <si>
    <t>SARRAFO NAO APARELHADO *2,5 X 10* CM, EM MACARANDUBA, ANGELIM OU EQUIVALENTE DA REGIAO -  BRUTA</t>
  </si>
  <si>
    <t>M</t>
  </si>
  <si>
    <t>SARRAFO *2,5 X 7,5* CM EM PINUS, MISTA OU EQUIVALENTE DA REGIAO - BRUTA</t>
  </si>
  <si>
    <t>CONCRETO FCK = 20MPA, TRAÇO 1:2,7:3 (EM MASSA SECA DE CIMENTO/ AREIA MÉDIA/ BRITA 1) - PREPARO MECÂNICO COM BETONEIRA 400 L. AF_05/2021</t>
  </si>
  <si>
    <t>REGULARIZAÇÃO E COMPACTAÇÃO DE SUBLEITO DE SOLO PREDOMINANTEMENTE ARGILOSO</t>
  </si>
  <si>
    <t>E9605</t>
  </si>
  <si>
    <t>CAMINHÃO PIPA 6.000 L.</t>
  </si>
  <si>
    <t>MOTONIVELADORA POTÊNCIA BÁSICA LÍQUIDA (PRIMEIRA MARCHA) 125 HP, PESO BRUTO 13032 KG, LARGURA DA LÂMINA DE 3,7 M - CHP DIURNO. AF_06/2014</t>
  </si>
  <si>
    <t>MOTONIVELADORA POTÊNCIA BÁSICA LÍQUIDA (PRIMEIRA MARCHA) 125 HP, PESO BRUTO 13032 KG, LARGURA DA LÂMINA DE 3,7 M - CHI DIURNO. AF_06/2014</t>
  </si>
  <si>
    <t>E9685</t>
  </si>
  <si>
    <t>ROLO COMPACTADOR VIBRATÓRIO PÉ DE CARNEIRO PARA SOLOS, AUTOPROPELIDO POR PNEUS DE 11,6 T</t>
  </si>
  <si>
    <t>ROLO COMPACTADOR VIBRATÓRIO PÉ DE CARNEIRO PARA SOLOS, POTÊNCIA 80 HP, PESO OPERACIONAL SEM/COM LASTRO 7,4 / 8,8 T, LARGURA DE TRABALHO 1,68 M - CHI DIURNO. AF_02/2016</t>
  </si>
  <si>
    <t>CPU-29</t>
  </si>
  <si>
    <t xml:space="preserve">Luminarias, poste com 9,0 m, lâmpadas vapor de sódio 250 w, fornecimento e instalação </t>
  </si>
  <si>
    <t>ESCAVAÇÃO MANUAL DE VALA COM PROFUNDIDADE MENOR IGUAL 1,3 M.</t>
  </si>
  <si>
    <t>CABO DE COBRE NU 35 MM² MEIO-DURO</t>
  </si>
  <si>
    <t xml:space="preserve">POSTE EM AÇO GALVANIZADO CÔNICO CONTÍNUO RETO, DIÂMETRO SUPERIOR DE 76 MM, DIÂMETRO DE BASE 175 MM, ALTURA TOTAL 9 M. </t>
  </si>
  <si>
    <t>ELETRICISTA COM ENCARGOS COMPLEMENTARES</t>
  </si>
  <si>
    <t>AUXILIAR DE ELETRICISTA COM ESCARGOS COMPLEMENTARES</t>
  </si>
  <si>
    <t>FITA ISOLANTE ADESIVA ANTICHAMA, USO ATÉ 750 V, EM ROLO DE 19 MM X 5 M</t>
  </si>
  <si>
    <t>LUMINÁRIA PARA ILUMINAÇÃO PÚBLICA, COMPLETA FECHADA, INCL. BRAÇO METÁLICO, REATOR E LÂMPADA VAPOR DE SÓDIO 250 W, EXCLUSIVE POSTE</t>
  </si>
  <si>
    <t>ALUGUEL DE CAMINHÃO GUINDAUTO 3,0 T</t>
  </si>
  <si>
    <t>PLANILHA DE DETALHAMENTO DO BDI</t>
  </si>
  <si>
    <t>OBRA:</t>
  </si>
  <si>
    <t>ORGÃO EXECUTOR:</t>
  </si>
  <si>
    <t>Codevasf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</si>
  <si>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</si>
  <si>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</si>
  <si>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</si>
  <si>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</si>
  <si>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</si>
  <si>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</si>
  <si>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</si>
  <si>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</si>
  <si>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</si>
  <si>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</si>
  <si>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</si>
  <si>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</si>
  <si>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</si>
  <si>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</si>
  <si>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</si>
  <si>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</si>
  <si>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</si>
  <si>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</si>
  <si>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</si>
  <si>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</si>
  <si>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</si>
  <si>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</si>
  <si>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</si>
  <si>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</si>
  <si>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</si>
  <si>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</si>
  <si>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</si>
  <si>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</si>
  <si>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</si>
  <si>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</si>
  <si>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</si>
  <si>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</si>
  <si>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</si>
  <si>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</si>
  <si>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</si>
  <si>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</si>
  <si>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</si>
  <si>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</si>
  <si>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</si>
  <si>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</si>
  <si>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</si>
  <si>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NOME DA CONCORRENTE:</t>
  </si>
  <si>
    <t>EDITAL:</t>
  </si>
  <si>
    <t>FOLHA:</t>
  </si>
  <si>
    <t>VIGÊNCIA A PARTIR DE 10/2021</t>
  </si>
  <si>
    <t>COM DESONERAÇÃO</t>
  </si>
  <si>
    <t>HORISTA</t>
  </si>
  <si>
    <t>MENSALISTA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</si>
  <si>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</si>
  <si>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</si>
  <si>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</si>
  <si>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</si>
  <si>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</si>
  <si>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</si>
  <si>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</si>
  <si>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</si>
  <si>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</si>
  <si>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</si>
  <si>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</si>
  <si>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</si>
  <si>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</si>
  <si>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</si>
  <si>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</si>
  <si>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</si>
  <si>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</si>
  <si>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</si>
  <si>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</si>
  <si>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</si>
  <si>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</si>
  <si>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</si>
  <si>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</si>
  <si>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</si>
  <si>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</si>
  <si>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</si>
  <si>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</si>
  <si>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</si>
  <si>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</si>
  <si>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</si>
  <si>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</si>
  <si>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</si>
  <si>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</si>
  <si>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</si>
  <si>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</si>
  <si>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</si>
  <si>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</si>
  <si>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</si>
  <si>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</si>
  <si>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</si>
  <si>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</si>
  <si>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</si>
  <si>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</si>
  <si>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</si>
  <si>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</si>
  <si>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</si>
  <si>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</si>
  <si>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</si>
  <si>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</si>
  <si>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</si>
  <si>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</si>
  <si>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</si>
  <si>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</si>
  <si>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</si>
  <si>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</si>
  <si>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</si>
  <si>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</si>
  <si>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</si>
  <si>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</si>
  <si>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CPU-01-A</t>
  </si>
  <si>
    <t>1.7</t>
  </si>
  <si>
    <t>PREÇO UNITÁRIO C/ BDI (SEM RISCO, SEGURO E GARANTIA DO BDI) (R$)</t>
  </si>
  <si>
    <t>TOTAL C/ BDI E SEM TAXA DE RISCO (R$)</t>
  </si>
  <si>
    <t>TOTAL C/ BDI E COM TAXA RISCO DA MATRIZ (R$)</t>
  </si>
  <si>
    <t>% DE RESERVA DE CONTINGÊNCIA (TAXA DE RISCO DA MATRIZ)</t>
  </si>
  <si>
    <t>MEMÓRIA DE CALCULO DO BDI  DOS SERVIÇOS SEM RISCO, SEGURO E GARANTIA - SEM DESONERAÇÃO</t>
  </si>
  <si>
    <t>1.8</t>
  </si>
  <si>
    <t xml:space="preserve">Locação de container - escritório com baneiro </t>
  </si>
  <si>
    <t>aluguel de container - almoxarifado sem banheiro - 6,00 x 2,40m</t>
  </si>
  <si>
    <t>28 (conforme projeto); 0,4 m³ por rampa</t>
  </si>
  <si>
    <t>PLANILHA COMPOSIÇÕES DE PREÇOS - CICLOVIA</t>
  </si>
  <si>
    <t>2550 (área da pavimentação) x 0,1 (espessura da camada de base)</t>
  </si>
  <si>
    <t>255 (material de base) + (252 x 0,057 (m³ de areia / m² de intertravado) + 145 (m³ de piso)</t>
  </si>
  <si>
    <t>750 (comp. Do meio-fio) x 0,15 (largura da valeta) x 0,15 (altura da valeta) x 2 (duas linhas de meio fio externo)</t>
  </si>
  <si>
    <t>750 x 0,15 (largura da vala) x 2 (linhas de meio fio)</t>
  </si>
  <si>
    <t>1500 (conforme projeto)</t>
  </si>
  <si>
    <t>33,75 (escavação) - (1500 x 0,08 (largura do meio fio) x 0,15 (altura da vala)</t>
  </si>
  <si>
    <t>750 (meio fio interno) x 2 (linhas)</t>
  </si>
  <si>
    <t>750 (meio fio interno) x 4 (linhas)</t>
  </si>
  <si>
    <t>850 (comprimento) x 1,5 (largura da ciclovia) x 2 (duas ciclovias)</t>
  </si>
  <si>
    <t>850 (comprimento) x 2 (quant. De vias) x 0,12 (largura da pintura) x 3 (quant. De faixas por via)</t>
  </si>
  <si>
    <t>1 a cada 75 m</t>
  </si>
  <si>
    <t>1.4</t>
  </si>
  <si>
    <t>DETALHAMENTO DOS ENCARGOS SOCIAIS (%) - CICLOVIA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</si>
</sst>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\ ;&quot; (&quot;#,##0.00\);&quot; -&quot;#\ ;@\ "/>
    <numFmt numFmtId="166" formatCode="#,##0.000000"/>
    <numFmt numFmtId="167" formatCode="_(&quot;R$ &quot;* #,##0.00_);_(&quot;R$ &quot;* \(#,##0.00\);_(&quot;R$ &quot;* &quot;-&quot;??_);_(@_)"/>
    <numFmt numFmtId="168" formatCode="#,##0.0000000"/>
    <numFmt numFmtId="169" formatCode="#,##0.0000"/>
    <numFmt numFmtId="170" formatCode="&quot;R$&quot;\ #,##0.00"/>
    <numFmt numFmtId="171" formatCode="0.0000"/>
  </numFmts>
  <fonts count="44">
    <font>
      <sz val="10"/>
      <name val="Arial"/>
      <charset val="134"/>
    </font>
    <font>
      <sz val="10"/>
      <name val="Arial"/>
      <charset val="134"/>
    </font>
    <font>
      <sz val="12"/>
      <name val="Arial"/>
      <charset val="134"/>
    </font>
    <font>
      <b/>
      <sz val="12"/>
      <name val="Arial"/>
      <charset val="134"/>
    </font>
    <font>
      <b/>
      <sz val="16"/>
      <name val="Arial"/>
      <charset val="134"/>
    </font>
    <font>
      <b/>
      <sz val="11"/>
      <name val="Arial"/>
      <charset val="134"/>
    </font>
    <font>
      <b/>
      <sz val="11"/>
      <color theme="0"/>
      <name val="Arial"/>
      <charset val="134"/>
    </font>
    <font>
      <sz val="11"/>
      <color theme="1"/>
      <name val="Arial"/>
      <charset val="134"/>
    </font>
    <font>
      <b/>
      <sz val="9"/>
      <name val="Arial"/>
      <charset val="134"/>
    </font>
    <font>
      <b/>
      <sz val="10"/>
      <name val="Arial"/>
      <charset val="134"/>
    </font>
    <font>
      <b/>
      <sz val="8"/>
      <name val="Arial"/>
      <charset val="134"/>
    </font>
    <font>
      <b/>
      <sz val="8"/>
      <color theme="1"/>
      <name val="Arial"/>
      <charset val="134"/>
    </font>
    <font>
      <sz val="10"/>
      <color rgb="FFFF0000"/>
      <name val="Arial"/>
      <charset val="134"/>
    </font>
    <font>
      <b/>
      <strike/>
      <sz val="10"/>
      <name val="Arial"/>
      <charset val="134"/>
    </font>
    <font>
      <b/>
      <sz val="12"/>
      <color rgb="FFFF0000"/>
      <name val="Arial"/>
      <charset val="134"/>
    </font>
    <font>
      <b/>
      <sz val="8"/>
      <color indexed="8"/>
      <name val="Times New Roman"/>
      <charset val="134"/>
    </font>
    <font>
      <sz val="10"/>
      <color indexed="8"/>
      <name val="Times New Roman"/>
      <charset val="134"/>
    </font>
    <font>
      <sz val="8"/>
      <color indexed="8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b/>
      <sz val="10"/>
      <color indexed="8"/>
      <name val="Times New Roman"/>
      <charset val="134"/>
    </font>
    <font>
      <b/>
      <sz val="8"/>
      <color indexed="8"/>
      <name val="Courier"/>
      <charset val="134"/>
    </font>
    <font>
      <sz val="8"/>
      <color indexed="8"/>
      <name val="Courier"/>
      <charset val="134"/>
    </font>
    <font>
      <b/>
      <sz val="8"/>
      <name val="Verdana"/>
      <charset val="134"/>
    </font>
    <font>
      <b/>
      <sz val="11"/>
      <name val="Verdana"/>
      <charset val="134"/>
    </font>
    <font>
      <b/>
      <sz val="15"/>
      <name val="Arial"/>
      <charset val="134"/>
    </font>
    <font>
      <b/>
      <sz val="18"/>
      <name val="Arial"/>
      <charset val="134"/>
    </font>
    <font>
      <sz val="9"/>
      <name val="Verdana"/>
      <charset val="134"/>
    </font>
    <font>
      <b/>
      <sz val="9"/>
      <name val="Verdana"/>
      <charset val="134"/>
    </font>
    <font>
      <sz val="8"/>
      <name val="Verdana"/>
      <charset val="134"/>
    </font>
    <font>
      <b/>
      <sz val="10"/>
      <color indexed="8"/>
      <name val="Arial Narrow"/>
      <charset val="134"/>
    </font>
    <font>
      <sz val="12"/>
      <color indexed="8"/>
      <name val="Arial Narrow"/>
      <charset val="134"/>
    </font>
    <font>
      <b/>
      <sz val="14"/>
      <name val="Arial"/>
      <charset val="134"/>
    </font>
    <font>
      <b/>
      <sz val="12"/>
      <name val="MonoMM1_ZeroNormal"/>
      <charset val="134"/>
    </font>
    <font>
      <sz val="11"/>
      <name val="Arial"/>
      <charset val="134"/>
    </font>
    <font>
      <sz val="11"/>
      <color indexed="8"/>
      <name val="Arial Narrow"/>
      <charset val="134"/>
    </font>
    <font>
      <sz val="8"/>
      <name val="Arial"/>
      <charset val="134"/>
    </font>
    <font>
      <b/>
      <sz val="11"/>
      <name val="MonoMM1_ZeroNormal"/>
      <charset val="134"/>
    </font>
    <font>
      <sz val="11"/>
      <color theme="1"/>
      <name val="Calibri"/>
      <charset val="134"/>
      <scheme val="minor"/>
    </font>
    <font>
      <sz val="11"/>
      <color rgb="FF000000"/>
      <name val="Calibri"/>
      <charset val="134"/>
    </font>
    <font>
      <b/>
      <sz val="11"/>
      <color indexed="8"/>
      <name val="Arial Narrow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2065187536243"/>
        <bgColor indexed="64"/>
      </patternFill>
    </fill>
    <fill>
      <patternFill patternType="solid">
        <fgColor theme="6"/>
        <bgColor indexed="8"/>
      </patternFill>
    </fill>
    <fill>
      <patternFill patternType="solid">
        <fgColor theme="0" tint="-0.14993743705557422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8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38" fillId="0" borderId="0"/>
    <xf numFmtId="0" fontId="38" fillId="0" borderId="0"/>
    <xf numFmtId="0" fontId="39" fillId="0" borderId="0"/>
    <xf numFmtId="9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</cellStyleXfs>
  <cellXfs count="457">
    <xf numFmtId="0" fontId="0" fillId="0" borderId="0" xfId="0"/>
    <xf numFmtId="0" fontId="1" fillId="0" borderId="0" xfId="6" applyBorder="1"/>
    <xf numFmtId="0" fontId="1" fillId="0" borderId="1" xfId="6" applyBorder="1"/>
    <xf numFmtId="0" fontId="1" fillId="0" borderId="2" xfId="6" applyBorder="1"/>
    <xf numFmtId="0" fontId="1" fillId="0" borderId="3" xfId="6" applyBorder="1"/>
    <xf numFmtId="0" fontId="1" fillId="0" borderId="4" xfId="6" applyBorder="1"/>
    <xf numFmtId="0" fontId="3" fillId="0" borderId="3" xfId="8" applyFont="1" applyBorder="1" applyAlignment="1">
      <alignment horizontal="center" vertical="center"/>
    </xf>
    <xf numFmtId="0" fontId="2" fillId="0" borderId="11" xfId="6" applyFont="1" applyBorder="1"/>
    <xf numFmtId="0" fontId="3" fillId="0" borderId="1" xfId="8" applyFont="1" applyBorder="1" applyAlignment="1">
      <alignment horizontal="center" vertical="center"/>
    </xf>
    <xf numFmtId="0" fontId="2" fillId="0" borderId="12" xfId="8" applyFont="1" applyBorder="1" applyAlignment="1">
      <alignment horizontal="center"/>
    </xf>
    <xf numFmtId="0" fontId="2" fillId="0" borderId="12" xfId="8" applyFont="1" applyBorder="1"/>
    <xf numFmtId="165" fontId="2" fillId="2" borderId="12" xfId="8" applyNumberFormat="1" applyFont="1" applyFill="1" applyBorder="1" applyAlignment="1">
      <alignment horizontal="center" vertical="center"/>
    </xf>
    <xf numFmtId="0" fontId="2" fillId="0" borderId="13" xfId="8" applyFont="1" applyBorder="1" applyAlignment="1">
      <alignment horizontal="center"/>
    </xf>
    <xf numFmtId="0" fontId="2" fillId="0" borderId="13" xfId="8" applyFont="1" applyBorder="1"/>
    <xf numFmtId="165" fontId="2" fillId="2" borderId="13" xfId="8" applyNumberFormat="1" applyFont="1" applyFill="1" applyBorder="1" applyAlignment="1">
      <alignment horizontal="center" vertical="center"/>
    </xf>
    <xf numFmtId="0" fontId="2" fillId="0" borderId="14" xfId="8" applyFont="1" applyBorder="1" applyAlignment="1">
      <alignment horizontal="center"/>
    </xf>
    <xf numFmtId="0" fontId="2" fillId="0" borderId="14" xfId="8" applyFont="1" applyBorder="1"/>
    <xf numFmtId="165" fontId="2" fillId="2" borderId="14" xfId="8" applyNumberFormat="1" applyFont="1" applyFill="1" applyBorder="1" applyAlignment="1">
      <alignment horizontal="center" vertical="center"/>
    </xf>
    <xf numFmtId="0" fontId="3" fillId="0" borderId="1" xfId="8" applyFont="1" applyBorder="1" applyAlignment="1">
      <alignment vertical="center"/>
    </xf>
    <xf numFmtId="165" fontId="3" fillId="3" borderId="1" xfId="8" applyNumberFormat="1" applyFont="1" applyFill="1" applyBorder="1" applyAlignment="1">
      <alignment horizontal="center" vertical="center"/>
    </xf>
    <xf numFmtId="0" fontId="2" fillId="0" borderId="13" xfId="8" applyFont="1" applyFill="1" applyBorder="1"/>
    <xf numFmtId="0" fontId="2" fillId="0" borderId="14" xfId="8" applyFont="1" applyFill="1" applyBorder="1"/>
    <xf numFmtId="0" fontId="2" fillId="0" borderId="14" xfId="8" applyFont="1" applyBorder="1" applyAlignment="1">
      <alignment horizontal="center" vertical="center"/>
    </xf>
    <xf numFmtId="0" fontId="2" fillId="0" borderId="14" xfId="8" applyFont="1" applyBorder="1" applyAlignment="1">
      <alignment horizontal="justify" vertical="center" wrapText="1"/>
    </xf>
    <xf numFmtId="10" fontId="3" fillId="3" borderId="1" xfId="8" applyNumberFormat="1" applyFont="1" applyFill="1" applyBorder="1" applyAlignment="1">
      <alignment horizontal="center" vertical="center"/>
    </xf>
    <xf numFmtId="0" fontId="2" fillId="0" borderId="0" xfId="6" applyFont="1"/>
    <xf numFmtId="0" fontId="3" fillId="0" borderId="17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49" fontId="6" fillId="5" borderId="17" xfId="10" applyNumberFormat="1" applyFont="1" applyFill="1" applyBorder="1" applyAlignment="1">
      <alignment horizontal="center" vertical="center"/>
    </xf>
    <xf numFmtId="49" fontId="6" fillId="5" borderId="0" xfId="10" applyNumberFormat="1" applyFont="1" applyFill="1" applyBorder="1" applyAlignment="1">
      <alignment horizontal="center" vertical="center"/>
    </xf>
    <xf numFmtId="0" fontId="7" fillId="0" borderId="0" xfId="10" applyFont="1" applyBorder="1"/>
    <xf numFmtId="0" fontId="8" fillId="5" borderId="0" xfId="10" applyFont="1" applyFill="1" applyBorder="1" applyAlignment="1">
      <alignment horizontal="center" vertical="center"/>
    </xf>
    <xf numFmtId="0" fontId="8" fillId="0" borderId="29" xfId="10" applyFont="1" applyFill="1" applyBorder="1" applyAlignment="1">
      <alignment horizontal="center" vertical="center"/>
    </xf>
    <xf numFmtId="0" fontId="0" fillId="0" borderId="0" xfId="10" applyFont="1" applyBorder="1" applyAlignment="1">
      <alignment vertical="center"/>
    </xf>
    <xf numFmtId="164" fontId="9" fillId="0" borderId="32" xfId="10" applyNumberFormat="1" applyFont="1" applyFill="1" applyBorder="1" applyAlignment="1">
      <alignment horizontal="center" vertical="center" wrapText="1"/>
    </xf>
    <xf numFmtId="0" fontId="9" fillId="0" borderId="0" xfId="10" applyFont="1" applyFill="1" applyBorder="1" applyAlignment="1">
      <alignment horizontal="justify" vertical="center" wrapText="1"/>
    </xf>
    <xf numFmtId="0" fontId="9" fillId="0" borderId="32" xfId="10" applyFont="1" applyFill="1" applyBorder="1" applyAlignment="1">
      <alignment horizontal="justify" vertical="center" wrapText="1"/>
    </xf>
    <xf numFmtId="0" fontId="0" fillId="0" borderId="36" xfId="10" applyFont="1" applyBorder="1" applyAlignment="1">
      <alignment horizontal="center" vertical="center"/>
    </xf>
    <xf numFmtId="0" fontId="0" fillId="0" borderId="1" xfId="10" applyFont="1" applyFill="1" applyBorder="1" applyAlignment="1">
      <alignment vertical="center"/>
    </xf>
    <xf numFmtId="10" fontId="0" fillId="6" borderId="37" xfId="14" applyNumberFormat="1" applyFont="1" applyFill="1" applyBorder="1" applyAlignment="1" applyProtection="1">
      <alignment horizontal="center" vertical="center"/>
      <protection locked="0"/>
    </xf>
    <xf numFmtId="10" fontId="0" fillId="0" borderId="0" xfId="14" applyNumberFormat="1" applyFont="1" applyBorder="1" applyAlignment="1">
      <alignment horizontal="center" vertical="center"/>
    </xf>
    <xf numFmtId="10" fontId="0" fillId="0" borderId="36" xfId="14" applyNumberFormat="1" applyFont="1" applyBorder="1" applyAlignment="1">
      <alignment horizontal="center" vertical="center"/>
    </xf>
    <xf numFmtId="10" fontId="0" fillId="0" borderId="2" xfId="14" applyNumberFormat="1" applyFont="1" applyBorder="1" applyAlignment="1">
      <alignment horizontal="center" vertical="center"/>
    </xf>
    <xf numFmtId="10" fontId="0" fillId="0" borderId="4" xfId="14" applyNumberFormat="1" applyFont="1" applyBorder="1" applyAlignment="1">
      <alignment horizontal="center" vertical="center"/>
    </xf>
    <xf numFmtId="10" fontId="9" fillId="0" borderId="39" xfId="14" applyNumberFormat="1" applyFont="1" applyBorder="1" applyAlignment="1">
      <alignment horizontal="center" vertical="center"/>
    </xf>
    <xf numFmtId="10" fontId="9" fillId="0" borderId="0" xfId="14" applyNumberFormat="1" applyFont="1" applyBorder="1" applyAlignment="1">
      <alignment horizontal="center" vertical="center"/>
    </xf>
    <xf numFmtId="10" fontId="0" fillId="0" borderId="29" xfId="14" applyNumberFormat="1" applyFont="1" applyBorder="1" applyAlignment="1">
      <alignment horizontal="center" vertical="center"/>
    </xf>
    <xf numFmtId="0" fontId="0" fillId="0" borderId="0" xfId="10" applyFont="1" applyBorder="1" applyAlignment="1">
      <alignment horizontal="center" vertical="center"/>
    </xf>
    <xf numFmtId="10" fontId="0" fillId="0" borderId="32" xfId="14" applyNumberFormat="1" applyFont="1" applyBorder="1" applyAlignment="1">
      <alignment horizontal="center" vertical="center"/>
    </xf>
    <xf numFmtId="0" fontId="0" fillId="0" borderId="42" xfId="10" applyFont="1" applyBorder="1" applyAlignment="1">
      <alignment horizontal="center" vertical="center"/>
    </xf>
    <xf numFmtId="10" fontId="9" fillId="0" borderId="0" xfId="14" applyNumberFormat="1" applyFont="1" applyBorder="1" applyAlignment="1">
      <alignment horizontal="center" vertical="center" wrapText="1"/>
    </xf>
    <xf numFmtId="10" fontId="0" fillId="0" borderId="50" xfId="14" applyNumberFormat="1" applyFont="1" applyBorder="1" applyAlignment="1">
      <alignment horizontal="center" vertical="center"/>
    </xf>
    <xf numFmtId="0" fontId="0" fillId="0" borderId="45" xfId="10" applyFont="1" applyFill="1" applyBorder="1" applyAlignment="1">
      <alignment vertical="center"/>
    </xf>
    <xf numFmtId="10" fontId="0" fillId="6" borderId="46" xfId="14" applyNumberFormat="1" applyFont="1" applyFill="1" applyBorder="1" applyAlignment="1" applyProtection="1">
      <alignment horizontal="center" vertical="center"/>
      <protection locked="0"/>
    </xf>
    <xf numFmtId="10" fontId="0" fillId="5" borderId="0" xfId="14" applyNumberFormat="1" applyFont="1" applyFill="1" applyBorder="1" applyAlignment="1">
      <alignment vertical="center"/>
    </xf>
    <xf numFmtId="10" fontId="0" fillId="0" borderId="0" xfId="14" applyNumberFormat="1" applyFont="1" applyBorder="1" applyAlignment="1">
      <alignment vertical="center"/>
    </xf>
    <xf numFmtId="0" fontId="0" fillId="0" borderId="0" xfId="10" applyFont="1" applyFill="1" applyBorder="1" applyAlignment="1">
      <alignment horizontal="center" vertical="center"/>
    </xf>
    <xf numFmtId="164" fontId="9" fillId="0" borderId="17" xfId="10" applyNumberFormat="1" applyFont="1" applyFill="1" applyBorder="1" applyAlignment="1">
      <alignment horizontal="center" vertical="center" wrapText="1"/>
    </xf>
    <xf numFmtId="164" fontId="0" fillId="0" borderId="0" xfId="10" applyNumberFormat="1" applyFont="1" applyBorder="1" applyAlignment="1">
      <alignment vertical="center"/>
    </xf>
    <xf numFmtId="0" fontId="0" fillId="0" borderId="17" xfId="10" applyFont="1" applyFill="1" applyBorder="1" applyAlignment="1">
      <alignment horizontal="center" vertical="center"/>
    </xf>
    <xf numFmtId="0" fontId="9" fillId="0" borderId="0" xfId="10" applyFont="1" applyFill="1" applyBorder="1" applyAlignment="1">
      <alignment horizontal="center" vertical="center"/>
    </xf>
    <xf numFmtId="0" fontId="0" fillId="0" borderId="17" xfId="10" applyFont="1" applyFill="1" applyBorder="1" applyAlignment="1">
      <alignment horizontal="right" vertical="center"/>
    </xf>
    <xf numFmtId="0" fontId="0" fillId="0" borderId="0" xfId="10" applyFont="1" applyFill="1" applyBorder="1" applyAlignment="1">
      <alignment horizontal="right" vertical="center"/>
    </xf>
    <xf numFmtId="167" fontId="13" fillId="0" borderId="0" xfId="14" applyNumberFormat="1" applyFont="1" applyBorder="1" applyAlignment="1">
      <alignment vertical="center"/>
    </xf>
    <xf numFmtId="10" fontId="3" fillId="0" borderId="0" xfId="10" applyNumberFormat="1" applyFont="1" applyFill="1" applyBorder="1" applyAlignment="1">
      <alignment vertical="center"/>
    </xf>
    <xf numFmtId="10" fontId="3" fillId="0" borderId="18" xfId="10" applyNumberFormat="1" applyFont="1" applyFill="1" applyBorder="1" applyAlignment="1">
      <alignment vertical="center"/>
    </xf>
    <xf numFmtId="10" fontId="0" fillId="0" borderId="18" xfId="14" applyNumberFormat="1" applyFont="1" applyBorder="1" applyAlignment="1">
      <alignment vertical="center"/>
    </xf>
    <xf numFmtId="0" fontId="7" fillId="0" borderId="57" xfId="10" applyFont="1" applyBorder="1"/>
    <xf numFmtId="0" fontId="8" fillId="0" borderId="39" xfId="10" applyFont="1" applyFill="1" applyBorder="1" applyAlignment="1">
      <alignment horizontal="center" vertical="center"/>
    </xf>
    <xf numFmtId="0" fontId="7" fillId="0" borderId="59" xfId="10" applyFont="1" applyBorder="1"/>
    <xf numFmtId="10" fontId="0" fillId="0" borderId="37" xfId="14" applyNumberFormat="1" applyFont="1" applyBorder="1" applyAlignment="1">
      <alignment horizontal="center" vertical="center"/>
    </xf>
    <xf numFmtId="10" fontId="0" fillId="0" borderId="39" xfId="14" applyNumberFormat="1" applyFont="1" applyBorder="1" applyAlignment="1">
      <alignment horizontal="center" vertical="center"/>
    </xf>
    <xf numFmtId="10" fontId="0" fillId="0" borderId="57" xfId="14" applyNumberFormat="1" applyFont="1" applyBorder="1" applyAlignment="1">
      <alignment horizontal="center" vertical="center"/>
    </xf>
    <xf numFmtId="10" fontId="0" fillId="0" borderId="59" xfId="14" applyNumberFormat="1" applyFont="1" applyBorder="1" applyAlignment="1">
      <alignment horizontal="center" vertical="center"/>
    </xf>
    <xf numFmtId="10" fontId="0" fillId="0" borderId="60" xfId="14" applyNumberFormat="1" applyFont="1" applyBorder="1" applyAlignment="1">
      <alignment horizontal="center" vertical="center"/>
    </xf>
    <xf numFmtId="10" fontId="0" fillId="5" borderId="57" xfId="14" applyNumberFormat="1" applyFont="1" applyFill="1" applyBorder="1" applyAlignment="1">
      <alignment vertical="center"/>
    </xf>
    <xf numFmtId="10" fontId="0" fillId="0" borderId="57" xfId="14" applyNumberFormat="1" applyFont="1" applyBorder="1" applyAlignment="1">
      <alignment vertical="center"/>
    </xf>
    <xf numFmtId="10" fontId="0" fillId="0" borderId="55" xfId="14" applyNumberFormat="1" applyFont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0" fillId="0" borderId="11" xfId="0" applyBorder="1"/>
    <xf numFmtId="0" fontId="0" fillId="0" borderId="0" xfId="0" applyBorder="1"/>
    <xf numFmtId="0" fontId="0" fillId="0" borderId="61" xfId="0" applyBorder="1"/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10" fontId="5" fillId="0" borderId="63" xfId="0" applyNumberFormat="1" applyFont="1" applyBorder="1" applyAlignment="1">
      <alignment vertical="center"/>
    </xf>
    <xf numFmtId="10" fontId="5" fillId="0" borderId="1" xfId="0" applyNumberFormat="1" applyFont="1" applyBorder="1" applyAlignment="1">
      <alignment vertical="center"/>
    </xf>
    <xf numFmtId="0" fontId="9" fillId="0" borderId="0" xfId="4" applyFont="1"/>
    <xf numFmtId="0" fontId="16" fillId="9" borderId="14" xfId="11" applyFont="1" applyFill="1" applyBorder="1" applyAlignment="1">
      <alignment horizontal="center" vertical="center" wrapText="1"/>
    </xf>
    <xf numFmtId="0" fontId="17" fillId="0" borderId="68" xfId="11" applyFont="1" applyFill="1" applyBorder="1" applyAlignment="1">
      <alignment horizontal="center" vertical="center" wrapText="1"/>
    </xf>
    <xf numFmtId="0" fontId="17" fillId="0" borderId="68" xfId="11" applyFont="1" applyFill="1" applyBorder="1" applyAlignment="1">
      <alignment horizontal="justify" vertical="center" wrapText="1"/>
    </xf>
    <xf numFmtId="168" fontId="17" fillId="0" borderId="68" xfId="5" applyNumberFormat="1" applyFont="1" applyFill="1" applyBorder="1" applyAlignment="1">
      <alignment horizontal="center" vertical="center" wrapText="1"/>
    </xf>
    <xf numFmtId="169" fontId="17" fillId="0" borderId="68" xfId="5" applyNumberFormat="1" applyFont="1" applyFill="1" applyBorder="1" applyAlignment="1">
      <alignment horizontal="center" vertical="center" wrapText="1"/>
    </xf>
    <xf numFmtId="0" fontId="16" fillId="9" borderId="13" xfId="11" applyFont="1" applyFill="1" applyBorder="1" applyAlignment="1">
      <alignment horizontal="center" vertical="center" wrapText="1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170" fontId="19" fillId="0" borderId="12" xfId="4" applyNumberFormat="1" applyFont="1" applyFill="1" applyBorder="1" applyAlignment="1">
      <alignment horizontal="center" vertical="center"/>
    </xf>
    <xf numFmtId="0" fontId="18" fillId="0" borderId="72" xfId="0" applyFont="1" applyBorder="1" applyAlignment="1">
      <alignment horizontal="center" vertical="center"/>
    </xf>
    <xf numFmtId="0" fontId="18" fillId="0" borderId="73" xfId="0" applyFont="1" applyBorder="1" applyAlignment="1">
      <alignment horizontal="center" vertical="center"/>
    </xf>
    <xf numFmtId="10" fontId="19" fillId="0" borderId="73" xfId="8" applyNumberFormat="1" applyFont="1" applyBorder="1" applyAlignment="1">
      <alignment vertical="center"/>
    </xf>
    <xf numFmtId="0" fontId="19" fillId="0" borderId="73" xfId="8" applyFont="1" applyBorder="1" applyAlignment="1">
      <alignment horizontal="right" vertical="center"/>
    </xf>
    <xf numFmtId="10" fontId="19" fillId="0" borderId="74" xfId="8" applyNumberFormat="1" applyFont="1" applyBorder="1" applyAlignment="1">
      <alignment horizontal="right" vertical="center"/>
    </xf>
    <xf numFmtId="170" fontId="19" fillId="0" borderId="75" xfId="8" applyNumberFormat="1" applyFont="1" applyFill="1" applyBorder="1" applyAlignment="1">
      <alignment horizontal="center" vertical="center"/>
    </xf>
    <xf numFmtId="0" fontId="18" fillId="0" borderId="76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9" fillId="0" borderId="77" xfId="8" applyFont="1" applyBorder="1" applyAlignment="1">
      <alignment horizontal="right" vertical="center"/>
    </xf>
    <xf numFmtId="10" fontId="19" fillId="0" borderId="78" xfId="8" applyNumberFormat="1" applyFont="1" applyBorder="1" applyAlignment="1">
      <alignment horizontal="right" vertical="center"/>
    </xf>
    <xf numFmtId="170" fontId="19" fillId="0" borderId="79" xfId="8" applyNumberFormat="1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/>
    </xf>
    <xf numFmtId="0" fontId="20" fillId="8" borderId="3" xfId="11" applyFont="1" applyFill="1" applyBorder="1" applyAlignment="1">
      <alignment horizontal="center" vertical="center" wrapText="1"/>
    </xf>
    <xf numFmtId="170" fontId="19" fillId="10" borderId="1" xfId="8" applyNumberFormat="1" applyFont="1" applyFill="1" applyBorder="1" applyAlignment="1">
      <alignment horizontal="center" vertical="center"/>
    </xf>
    <xf numFmtId="0" fontId="17" fillId="0" borderId="68" xfId="11" applyFont="1" applyFill="1" applyBorder="1" applyAlignment="1">
      <alignment horizontal="justify" vertical="center"/>
    </xf>
    <xf numFmtId="0" fontId="21" fillId="11" borderId="1" xfId="11" applyFont="1" applyFill="1" applyBorder="1" applyAlignment="1">
      <alignment horizontal="center" vertical="center" wrapText="1"/>
    </xf>
    <xf numFmtId="0" fontId="21" fillId="11" borderId="1" xfId="11" applyFont="1" applyFill="1" applyBorder="1" applyAlignment="1">
      <alignment horizontal="left" vertical="center" wrapText="1"/>
    </xf>
    <xf numFmtId="171" fontId="21" fillId="11" borderId="1" xfId="3" applyNumberFormat="1" applyFont="1" applyFill="1" applyBorder="1" applyAlignment="1">
      <alignment horizontal="center" vertical="center" wrapText="1"/>
    </xf>
    <xf numFmtId="0" fontId="22" fillId="9" borderId="1" xfId="11" applyFont="1" applyFill="1" applyBorder="1" applyAlignment="1">
      <alignment horizontal="center" vertical="center" wrapText="1"/>
    </xf>
    <xf numFmtId="0" fontId="22" fillId="9" borderId="1" xfId="11" applyFont="1" applyFill="1" applyBorder="1" applyAlignment="1">
      <alignment horizontal="left" vertical="center" wrapText="1"/>
    </xf>
    <xf numFmtId="171" fontId="22" fillId="9" borderId="1" xfId="3" applyNumberFormat="1" applyFont="1" applyFill="1" applyBorder="1" applyAlignment="1">
      <alignment horizontal="center" vertical="center" wrapText="1"/>
    </xf>
    <xf numFmtId="2" fontId="22" fillId="9" borderId="1" xfId="3" applyNumberFormat="1" applyFont="1" applyFill="1" applyBorder="1" applyAlignment="1">
      <alignment horizontal="center" vertical="center" wrapText="1"/>
    </xf>
    <xf numFmtId="4" fontId="23" fillId="0" borderId="1" xfId="4" applyNumberFormat="1" applyFont="1" applyFill="1" applyBorder="1" applyAlignment="1">
      <alignment horizontal="right" vertical="center"/>
    </xf>
    <xf numFmtId="4" fontId="23" fillId="0" borderId="1" xfId="4" applyNumberFormat="1" applyFont="1" applyBorder="1" applyAlignment="1">
      <alignment horizontal="right" vertical="center"/>
    </xf>
    <xf numFmtId="4" fontId="23" fillId="5" borderId="1" xfId="4" applyNumberFormat="1" applyFont="1" applyFill="1" applyBorder="1" applyAlignment="1">
      <alignment horizontal="right" vertical="center"/>
    </xf>
    <xf numFmtId="2" fontId="22" fillId="5" borderId="1" xfId="3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24" fillId="12" borderId="1" xfId="4" applyNumberFormat="1" applyFont="1" applyFill="1" applyBorder="1" applyAlignment="1">
      <alignment horizontal="right" vertical="center"/>
    </xf>
    <xf numFmtId="0" fontId="22" fillId="13" borderId="1" xfId="11" applyFont="1" applyFill="1" applyBorder="1" applyAlignment="1">
      <alignment horizontal="center" vertical="center" wrapText="1"/>
    </xf>
    <xf numFmtId="4" fontId="22" fillId="9" borderId="1" xfId="11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166" fontId="22" fillId="9" borderId="1" xfId="1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4"/>
    <xf numFmtId="0" fontId="0" fillId="0" borderId="17" xfId="4" applyFont="1" applyBorder="1"/>
    <xf numFmtId="0" fontId="0" fillId="0" borderId="0" xfId="4" applyFont="1" applyBorder="1"/>
    <xf numFmtId="4" fontId="0" fillId="0" borderId="0" xfId="4" applyNumberFormat="1" applyFont="1" applyBorder="1"/>
    <xf numFmtId="0" fontId="1" fillId="0" borderId="0" xfId="4" applyBorder="1" applyAlignment="1">
      <alignment vertical="center"/>
    </xf>
    <xf numFmtId="0" fontId="1" fillId="0" borderId="0" xfId="4" applyBorder="1"/>
    <xf numFmtId="0" fontId="9" fillId="0" borderId="17" xfId="0" applyFont="1" applyBorder="1" applyAlignment="1">
      <alignment horizontal="left" vertical="top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/>
    <xf numFmtId="0" fontId="9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17" xfId="4" applyFont="1" applyBorder="1" applyAlignment="1">
      <alignment vertical="top"/>
    </xf>
    <xf numFmtId="0" fontId="9" fillId="0" borderId="0" xfId="4" applyFont="1" applyBorder="1" applyAlignment="1">
      <alignment wrapText="1"/>
    </xf>
    <xf numFmtId="0" fontId="26" fillId="0" borderId="17" xfId="4" applyFont="1" applyBorder="1" applyAlignment="1">
      <alignment horizontal="center" vertical="center"/>
    </xf>
    <xf numFmtId="0" fontId="26" fillId="0" borderId="0" xfId="4" applyFont="1" applyBorder="1" applyAlignment="1">
      <alignment horizontal="center" vertical="center"/>
    </xf>
    <xf numFmtId="0" fontId="27" fillId="0" borderId="17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7" fillId="0" borderId="17" xfId="4" applyFont="1" applyBorder="1"/>
    <xf numFmtId="0" fontId="27" fillId="0" borderId="0" xfId="4" applyFont="1" applyBorder="1"/>
    <xf numFmtId="2" fontId="28" fillId="5" borderId="0" xfId="4" applyNumberFormat="1" applyFont="1" applyFill="1" applyBorder="1"/>
    <xf numFmtId="2" fontId="27" fillId="5" borderId="0" xfId="4" applyNumberFormat="1" applyFont="1" applyFill="1" applyBorder="1"/>
    <xf numFmtId="2" fontId="28" fillId="0" borderId="80" xfId="4" applyNumberFormat="1" applyFont="1" applyBorder="1" applyAlignment="1">
      <alignment horizontal="center" vertical="center"/>
    </xf>
    <xf numFmtId="0" fontId="1" fillId="0" borderId="17" xfId="4" applyBorder="1"/>
    <xf numFmtId="2" fontId="27" fillId="0" borderId="0" xfId="4" applyNumberFormat="1" applyFont="1" applyBorder="1"/>
    <xf numFmtId="0" fontId="28" fillId="0" borderId="0" xfId="4" applyFont="1" applyBorder="1"/>
    <xf numFmtId="0" fontId="0" fillId="0" borderId="54" xfId="4" applyFont="1" applyBorder="1"/>
    <xf numFmtId="0" fontId="1" fillId="0" borderId="18" xfId="4" applyBorder="1"/>
    <xf numFmtId="0" fontId="0" fillId="0" borderId="18" xfId="4" applyFont="1" applyBorder="1"/>
    <xf numFmtId="0" fontId="1" fillId="0" borderId="57" xfId="4" applyBorder="1"/>
    <xf numFmtId="4" fontId="9" fillId="0" borderId="57" xfId="4" applyNumberFormat="1" applyFont="1" applyBorder="1"/>
    <xf numFmtId="0" fontId="1" fillId="0" borderId="55" xfId="4" applyBorder="1"/>
    <xf numFmtId="49" fontId="30" fillId="0" borderId="15" xfId="0" applyNumberFormat="1" applyFont="1" applyBorder="1" applyAlignment="1">
      <alignment vertical="top" wrapText="1"/>
    </xf>
    <xf numFmtId="49" fontId="30" fillId="0" borderId="17" xfId="0" applyNumberFormat="1" applyFont="1" applyBorder="1" applyAlignment="1">
      <alignment vertical="top" wrapText="1"/>
    </xf>
    <xf numFmtId="49" fontId="30" fillId="0" borderId="5" xfId="0" applyNumberFormat="1" applyFont="1" applyBorder="1" applyAlignment="1">
      <alignment vertical="top" wrapText="1"/>
    </xf>
    <xf numFmtId="49" fontId="31" fillId="0" borderId="6" xfId="0" applyNumberFormat="1" applyFont="1" applyBorder="1" applyAlignment="1">
      <alignment horizontal="left" vertical="top" wrapText="1"/>
    </xf>
    <xf numFmtId="0" fontId="0" fillId="0" borderId="7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1" xfId="0" applyFont="1" applyBorder="1" applyAlignment="1">
      <alignment vertical="center"/>
    </xf>
    <xf numFmtId="0" fontId="32" fillId="0" borderId="0" xfId="0" applyFont="1" applyBorder="1"/>
    <xf numFmtId="0" fontId="29" fillId="0" borderId="0" xfId="0" applyFont="1" applyBorder="1" applyAlignment="1">
      <alignment vertical="center"/>
    </xf>
    <xf numFmtId="0" fontId="0" fillId="0" borderId="61" xfId="0" applyBorder="1" applyAlignment="1">
      <alignment vertical="center"/>
    </xf>
    <xf numFmtId="2" fontId="0" fillId="0" borderId="0" xfId="0" applyNumberFormat="1" applyAlignment="1">
      <alignment vertical="center"/>
    </xf>
    <xf numFmtId="0" fontId="9" fillId="0" borderId="1" xfId="4" applyFont="1" applyBorder="1" applyAlignment="1">
      <alignment horizontal="center" vertical="center"/>
    </xf>
    <xf numFmtId="0" fontId="9" fillId="0" borderId="1" xfId="4" applyFont="1" applyBorder="1" applyAlignment="1">
      <alignment vertical="center"/>
    </xf>
    <xf numFmtId="0" fontId="0" fillId="0" borderId="1" xfId="4" applyFont="1" applyFill="1" applyBorder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0" fontId="0" fillId="0" borderId="1" xfId="4" applyFont="1" applyBorder="1" applyAlignment="1">
      <alignment horizontal="left" vertical="center" wrapText="1"/>
    </xf>
    <xf numFmtId="164" fontId="0" fillId="5" borderId="1" xfId="1" applyFont="1" applyFill="1" applyBorder="1" applyAlignment="1">
      <alignment horizontal="right" vertical="center" wrapText="1"/>
    </xf>
    <xf numFmtId="4" fontId="0" fillId="5" borderId="1" xfId="4" applyNumberFormat="1" applyFont="1" applyFill="1" applyBorder="1" applyAlignment="1">
      <alignment horizontal="right" vertical="center"/>
    </xf>
    <xf numFmtId="0" fontId="9" fillId="0" borderId="1" xfId="4" applyFont="1" applyBorder="1" applyAlignment="1">
      <alignment horizontal="left" vertical="center" wrapText="1"/>
    </xf>
    <xf numFmtId="49" fontId="30" fillId="0" borderId="11" xfId="0" applyNumberFormat="1" applyFont="1" applyBorder="1" applyAlignment="1">
      <alignment vertical="top" wrapText="1"/>
    </xf>
    <xf numFmtId="0" fontId="0" fillId="0" borderId="0" xfId="0" applyBorder="1" applyAlignment="1">
      <alignment horizontal="center"/>
    </xf>
    <xf numFmtId="49" fontId="34" fillId="0" borderId="11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9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4" fontId="2" fillId="5" borderId="1" xfId="1" applyFont="1" applyFill="1" applyBorder="1" applyAlignment="1">
      <alignment horizontal="center"/>
    </xf>
    <xf numFmtId="43" fontId="2" fillId="0" borderId="1" xfId="1" applyNumberFormat="1" applyFont="1" applyBorder="1" applyAlignment="1">
      <alignment horizontal="center" vertical="center"/>
    </xf>
    <xf numFmtId="43" fontId="0" fillId="0" borderId="0" xfId="0" applyNumberFormat="1"/>
    <xf numFmtId="0" fontId="3" fillId="0" borderId="1" xfId="0" applyFont="1" applyBorder="1" applyAlignment="1">
      <alignment horizontal="left" vertical="center"/>
    </xf>
    <xf numFmtId="164" fontId="0" fillId="0" borderId="1" xfId="1" applyFont="1" applyBorder="1" applyAlignment="1">
      <alignment horizontal="center"/>
    </xf>
    <xf numFmtId="10" fontId="3" fillId="10" borderId="1" xfId="2" applyNumberFormat="1" applyFont="1" applyFill="1" applyBorder="1" applyAlignment="1">
      <alignment horizontal="center"/>
    </xf>
    <xf numFmtId="164" fontId="0" fillId="5" borderId="3" xfId="1" applyFont="1" applyFill="1" applyBorder="1" applyAlignment="1"/>
    <xf numFmtId="164" fontId="0" fillId="5" borderId="1" xfId="1" applyFont="1" applyFill="1" applyBorder="1" applyAlignment="1">
      <alignment horizontal="center"/>
    </xf>
    <xf numFmtId="43" fontId="2" fillId="0" borderId="37" xfId="1" applyNumberFormat="1" applyFont="1" applyBorder="1" applyAlignment="1">
      <alignment horizontal="center" vertical="center"/>
    </xf>
    <xf numFmtId="0" fontId="3" fillId="0" borderId="45" xfId="0" applyFont="1" applyBorder="1" applyAlignment="1">
      <alignment vertical="center"/>
    </xf>
    <xf numFmtId="164" fontId="0" fillId="5" borderId="45" xfId="1" applyFont="1" applyFill="1" applyBorder="1" applyAlignment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/>
    </xf>
    <xf numFmtId="43" fontId="3" fillId="0" borderId="1" xfId="0" applyNumberFormat="1" applyFont="1" applyBorder="1" applyAlignment="1">
      <alignment horizontal="center"/>
    </xf>
    <xf numFmtId="43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10" fontId="0" fillId="0" borderId="0" xfId="0" applyNumberFormat="1"/>
    <xf numFmtId="43" fontId="2" fillId="0" borderId="1" xfId="0" applyNumberFormat="1" applyFont="1" applyBorder="1" applyAlignment="1">
      <alignment horizontal="center"/>
    </xf>
    <xf numFmtId="0" fontId="9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4" borderId="0" xfId="4" applyFont="1" applyFill="1"/>
    <xf numFmtId="0" fontId="0" fillId="15" borderId="0" xfId="4" applyFont="1" applyFill="1"/>
    <xf numFmtId="0" fontId="0" fillId="0" borderId="0" xfId="4" applyFont="1"/>
    <xf numFmtId="4" fontId="0" fillId="0" borderId="0" xfId="4" applyNumberFormat="1" applyFont="1"/>
    <xf numFmtId="4" fontId="0" fillId="0" borderId="0" xfId="4" applyNumberFormat="1" applyFont="1" applyAlignment="1">
      <alignment horizontal="right"/>
    </xf>
    <xf numFmtId="49" fontId="30" fillId="0" borderId="0" xfId="0" applyNumberFormat="1" applyFont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10" fontId="9" fillId="0" borderId="0" xfId="0" applyNumberFormat="1" applyFont="1" applyBorder="1" applyAlignment="1">
      <alignment horizontal="left" wrapText="1"/>
    </xf>
    <xf numFmtId="0" fontId="3" fillId="0" borderId="0" xfId="4" applyNumberFormat="1" applyFont="1" applyBorder="1" applyAlignment="1">
      <alignment horizontal="justify" vertical="center" wrapText="1"/>
    </xf>
    <xf numFmtId="0" fontId="9" fillId="16" borderId="36" xfId="4" applyFont="1" applyFill="1" applyBorder="1" applyAlignment="1">
      <alignment horizontal="center" vertical="center" wrapText="1"/>
    </xf>
    <xf numFmtId="0" fontId="9" fillId="16" borderId="2" xfId="4" applyFont="1" applyFill="1" applyBorder="1" applyAlignment="1">
      <alignment horizontal="center" vertical="center" wrapText="1"/>
    </xf>
    <xf numFmtId="0" fontId="9" fillId="16" borderId="2" xfId="4" applyFont="1" applyFill="1" applyBorder="1" applyAlignment="1">
      <alignment vertical="center" wrapText="1"/>
    </xf>
    <xf numFmtId="0" fontId="9" fillId="16" borderId="1" xfId="4" applyFont="1" applyFill="1" applyBorder="1" applyAlignment="1">
      <alignment horizontal="center" vertical="center" wrapText="1"/>
    </xf>
    <xf numFmtId="4" fontId="9" fillId="16" borderId="1" xfId="4" applyNumberFormat="1" applyFont="1" applyFill="1" applyBorder="1" applyAlignment="1">
      <alignment horizontal="center" vertical="center" wrapText="1"/>
    </xf>
    <xf numFmtId="0" fontId="9" fillId="4" borderId="36" xfId="4" applyFont="1" applyFill="1" applyBorder="1" applyAlignment="1">
      <alignment horizontal="center" vertical="center"/>
    </xf>
    <xf numFmtId="0" fontId="9" fillId="4" borderId="3" xfId="4" applyFont="1" applyFill="1" applyBorder="1" applyAlignment="1">
      <alignment vertical="center"/>
    </xf>
    <xf numFmtId="0" fontId="9" fillId="4" borderId="2" xfId="4" applyFont="1" applyFill="1" applyBorder="1" applyAlignment="1">
      <alignment vertical="center"/>
    </xf>
    <xf numFmtId="0" fontId="0" fillId="4" borderId="1" xfId="4" applyFont="1" applyFill="1" applyBorder="1" applyAlignment="1">
      <alignment horizontal="center" vertical="center"/>
    </xf>
    <xf numFmtId="0" fontId="0" fillId="0" borderId="36" xfId="4" applyFont="1" applyBorder="1" applyAlignment="1">
      <alignment horizontal="center" vertical="center"/>
    </xf>
    <xf numFmtId="0" fontId="0" fillId="0" borderId="4" xfId="4" applyFont="1" applyBorder="1" applyAlignment="1">
      <alignment horizontal="center" vertical="center"/>
    </xf>
    <xf numFmtId="0" fontId="36" fillId="5" borderId="1" xfId="4" applyFont="1" applyFill="1" applyBorder="1" applyAlignment="1">
      <alignment horizontal="center" vertical="center"/>
    </xf>
    <xf numFmtId="10" fontId="0" fillId="5" borderId="1" xfId="1" applyNumberFormat="1" applyFont="1" applyFill="1" applyBorder="1" applyAlignment="1">
      <alignment horizontal="center" vertical="center"/>
    </xf>
    <xf numFmtId="164" fontId="0" fillId="5" borderId="1" xfId="1" applyFont="1" applyFill="1" applyBorder="1" applyAlignment="1">
      <alignment horizontal="center" vertical="center"/>
    </xf>
    <xf numFmtId="0" fontId="1" fillId="0" borderId="1" xfId="4" applyFont="1" applyBorder="1" applyAlignment="1">
      <alignment horizontal="left" vertical="center" wrapText="1"/>
    </xf>
    <xf numFmtId="0" fontId="0" fillId="5" borderId="1" xfId="4" applyFont="1" applyFill="1" applyBorder="1" applyAlignment="1">
      <alignment horizontal="left" vertical="center" wrapText="1"/>
    </xf>
    <xf numFmtId="0" fontId="9" fillId="15" borderId="36" xfId="4" applyFont="1" applyFill="1" applyBorder="1" applyAlignment="1">
      <alignment horizontal="center" vertical="center"/>
    </xf>
    <xf numFmtId="0" fontId="9" fillId="15" borderId="2" xfId="4" applyFont="1" applyFill="1" applyBorder="1" applyAlignment="1">
      <alignment vertical="center"/>
    </xf>
    <xf numFmtId="0" fontId="9" fillId="15" borderId="3" xfId="4" applyFont="1" applyFill="1" applyBorder="1" applyAlignment="1">
      <alignment vertical="center"/>
    </xf>
    <xf numFmtId="0" fontId="9" fillId="15" borderId="4" xfId="4" applyFont="1" applyFill="1" applyBorder="1" applyAlignment="1">
      <alignment vertical="center"/>
    </xf>
    <xf numFmtId="0" fontId="1" fillId="0" borderId="4" xfId="4" applyFont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0" fontId="1" fillId="5" borderId="1" xfId="4" applyFont="1" applyFill="1" applyBorder="1" applyAlignment="1">
      <alignment horizontal="left" vertical="center" wrapText="1"/>
    </xf>
    <xf numFmtId="0" fontId="12" fillId="5" borderId="17" xfId="4" applyFont="1" applyFill="1" applyBorder="1" applyAlignment="1">
      <alignment horizontal="center" vertical="center"/>
    </xf>
    <xf numFmtId="0" fontId="12" fillId="5" borderId="0" xfId="4" applyFont="1" applyFill="1" applyBorder="1" applyAlignment="1">
      <alignment horizontal="center" vertical="center"/>
    </xf>
    <xf numFmtId="0" fontId="12" fillId="5" borderId="6" xfId="4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4" fontId="9" fillId="16" borderId="37" xfId="4" applyNumberFormat="1" applyFont="1" applyFill="1" applyBorder="1" applyAlignment="1">
      <alignment horizontal="center" vertical="center" wrapText="1"/>
    </xf>
    <xf numFmtId="4" fontId="0" fillId="0" borderId="37" xfId="4" applyNumberFormat="1" applyFont="1" applyBorder="1" applyAlignment="1">
      <alignment horizontal="right" vertical="center"/>
    </xf>
    <xf numFmtId="10" fontId="0" fillId="0" borderId="0" xfId="4" applyNumberFormat="1" applyFont="1"/>
    <xf numFmtId="4" fontId="37" fillId="10" borderId="37" xfId="4" applyNumberFormat="1" applyFont="1" applyFill="1" applyBorder="1" applyAlignment="1">
      <alignment horizontal="right" vertical="center"/>
    </xf>
    <xf numFmtId="10" fontId="0" fillId="4" borderId="0" xfId="4" applyNumberFormat="1" applyFont="1" applyFill="1"/>
    <xf numFmtId="4" fontId="37" fillId="17" borderId="37" xfId="4" applyNumberFormat="1" applyFont="1" applyFill="1" applyBorder="1" applyAlignment="1">
      <alignment horizontal="right" vertical="center"/>
    </xf>
    <xf numFmtId="0" fontId="12" fillId="5" borderId="84" xfId="4" applyFont="1" applyFill="1" applyBorder="1" applyAlignment="1">
      <alignment horizontal="center" vertical="center"/>
    </xf>
    <xf numFmtId="4" fontId="32" fillId="18" borderId="39" xfId="4" applyNumberFormat="1" applyFont="1" applyFill="1" applyBorder="1" applyAlignment="1">
      <alignment horizontal="right" vertical="center"/>
    </xf>
    <xf numFmtId="0" fontId="0" fillId="0" borderId="4" xfId="4" applyFont="1" applyBorder="1" applyAlignment="1">
      <alignment horizontal="center" vertical="center"/>
    </xf>
    <xf numFmtId="0" fontId="0" fillId="0" borderId="1" xfId="4" applyFont="1" applyFill="1" applyBorder="1" applyAlignment="1">
      <alignment horizontal="center" vertical="center"/>
    </xf>
    <xf numFmtId="0" fontId="0" fillId="4" borderId="0" xfId="4" applyFont="1" applyFill="1" applyBorder="1" applyAlignment="1">
      <alignment horizontal="center" vertical="center"/>
    </xf>
    <xf numFmtId="0" fontId="0" fillId="15" borderId="0" xfId="4" applyFont="1" applyFill="1" applyBorder="1" applyAlignment="1">
      <alignment horizontal="center" vertical="center"/>
    </xf>
    <xf numFmtId="10" fontId="42" fillId="6" borderId="37" xfId="14" applyNumberFormat="1" applyFont="1" applyFill="1" applyBorder="1" applyAlignment="1" applyProtection="1">
      <alignment horizontal="center" vertical="center"/>
      <protection locked="0"/>
    </xf>
    <xf numFmtId="0" fontId="0" fillId="15" borderId="1" xfId="4" applyFont="1" applyFill="1" applyBorder="1" applyAlignment="1">
      <alignment horizontal="center" vertical="center"/>
    </xf>
    <xf numFmtId="10" fontId="43" fillId="0" borderId="1" xfId="2" applyNumberFormat="1" applyFont="1" applyBorder="1" applyAlignment="1">
      <alignment horizontal="center" vertical="center"/>
    </xf>
    <xf numFmtId="0" fontId="0" fillId="0" borderId="36" xfId="4" applyFont="1" applyBorder="1" applyAlignment="1">
      <alignment horizontal="center" vertical="center"/>
    </xf>
    <xf numFmtId="0" fontId="0" fillId="0" borderId="54" xfId="4" applyFont="1" applyBorder="1" applyAlignment="1">
      <alignment horizontal="center" vertical="center"/>
    </xf>
    <xf numFmtId="0" fontId="0" fillId="0" borderId="18" xfId="4" applyFont="1" applyBorder="1" applyAlignment="1">
      <alignment horizontal="center" vertical="center"/>
    </xf>
    <xf numFmtId="0" fontId="0" fillId="0" borderId="44" xfId="4" applyFont="1" applyBorder="1" applyAlignment="1">
      <alignment horizontal="center" vertical="center"/>
    </xf>
    <xf numFmtId="4" fontId="32" fillId="0" borderId="82" xfId="4" applyNumberFormat="1" applyFont="1" applyBorder="1" applyAlignment="1">
      <alignment horizontal="center" vertical="center"/>
    </xf>
    <xf numFmtId="49" fontId="40" fillId="0" borderId="1" xfId="0" applyNumberFormat="1" applyFont="1" applyBorder="1" applyAlignment="1">
      <alignment horizontal="center" vertical="center" wrapText="1"/>
    </xf>
    <xf numFmtId="0" fontId="0" fillId="0" borderId="36" xfId="4" applyFont="1" applyBorder="1" applyAlignment="1">
      <alignment horizontal="center" vertical="center"/>
    </xf>
    <xf numFmtId="0" fontId="0" fillId="0" borderId="4" xfId="4" applyFont="1" applyBorder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4" fontId="5" fillId="0" borderId="1" xfId="4" applyNumberFormat="1" applyFont="1" applyFill="1" applyBorder="1" applyAlignment="1">
      <alignment horizontal="center" vertical="center"/>
    </xf>
    <xf numFmtId="0" fontId="0" fillId="4" borderId="1" xfId="4" applyFont="1" applyFill="1" applyBorder="1" applyAlignment="1">
      <alignment horizontal="center" vertical="center"/>
    </xf>
    <xf numFmtId="0" fontId="0" fillId="4" borderId="37" xfId="4" applyFont="1" applyFill="1" applyBorder="1" applyAlignment="1">
      <alignment horizontal="center" vertical="center"/>
    </xf>
    <xf numFmtId="0" fontId="0" fillId="15" borderId="2" xfId="4" applyFont="1" applyFill="1" applyBorder="1" applyAlignment="1">
      <alignment horizontal="center" vertical="center"/>
    </xf>
    <xf numFmtId="0" fontId="0" fillId="15" borderId="3" xfId="4" applyFont="1" applyFill="1" applyBorder="1" applyAlignment="1">
      <alignment horizontal="center" vertical="center"/>
    </xf>
    <xf numFmtId="0" fontId="0" fillId="15" borderId="83" xfId="4" applyFont="1" applyFill="1" applyBorder="1" applyAlignment="1">
      <alignment horizontal="center" vertical="center"/>
    </xf>
    <xf numFmtId="0" fontId="0" fillId="4" borderId="2" xfId="4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32" fillId="0" borderId="2" xfId="4" applyFont="1" applyBorder="1" applyAlignment="1">
      <alignment horizontal="center" vertical="center"/>
    </xf>
    <xf numFmtId="0" fontId="32" fillId="0" borderId="3" xfId="4" applyFont="1" applyBorder="1" applyAlignment="1">
      <alignment horizontal="center" vertical="center"/>
    </xf>
    <xf numFmtId="0" fontId="32" fillId="0" borderId="4" xfId="4" applyFont="1" applyBorder="1" applyAlignment="1">
      <alignment horizontal="center" vertical="center"/>
    </xf>
    <xf numFmtId="49" fontId="35" fillId="0" borderId="0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43" fontId="3" fillId="0" borderId="45" xfId="0" applyNumberFormat="1" applyFont="1" applyBorder="1" applyAlignment="1">
      <alignment horizontal="center"/>
    </xf>
    <xf numFmtId="43" fontId="3" fillId="0" borderId="68" xfId="0" applyNumberFormat="1" applyFont="1" applyBorder="1" applyAlignment="1">
      <alignment horizontal="center"/>
    </xf>
    <xf numFmtId="43" fontId="3" fillId="0" borderId="48" xfId="0" applyNumberFormat="1" applyFont="1" applyBorder="1" applyAlignment="1">
      <alignment horizontal="center"/>
    </xf>
    <xf numFmtId="0" fontId="3" fillId="14" borderId="1" xfId="0" applyFont="1" applyFill="1" applyBorder="1" applyAlignment="1">
      <alignment horizontal="center" vertical="center"/>
    </xf>
    <xf numFmtId="49" fontId="31" fillId="0" borderId="0" xfId="0" applyNumberFormat="1" applyFont="1" applyBorder="1" applyAlignment="1">
      <alignment horizontal="center" vertical="top" wrapText="1"/>
    </xf>
    <xf numFmtId="0" fontId="9" fillId="0" borderId="11" xfId="4" applyFont="1" applyBorder="1" applyAlignment="1">
      <alignment horizontal="center" vertical="top" wrapText="1"/>
    </xf>
    <xf numFmtId="0" fontId="9" fillId="0" borderId="0" xfId="4" applyFont="1" applyBorder="1" applyAlignment="1">
      <alignment horizontal="center" vertical="top" wrapText="1"/>
    </xf>
    <xf numFmtId="0" fontId="4" fillId="14" borderId="11" xfId="0" applyFont="1" applyFill="1" applyBorder="1" applyAlignment="1">
      <alignment horizontal="center" vertical="center"/>
    </xf>
    <xf numFmtId="0" fontId="4" fillId="14" borderId="0" xfId="0" applyFont="1" applyFill="1" applyBorder="1" applyAlignment="1">
      <alignment horizontal="center" vertical="center"/>
    </xf>
    <xf numFmtId="0" fontId="0" fillId="0" borderId="1" xfId="4" applyFont="1" applyFill="1" applyBorder="1" applyAlignment="1">
      <alignment horizontal="center" vertical="center"/>
    </xf>
    <xf numFmtId="0" fontId="9" fillId="0" borderId="81" xfId="0" applyFont="1" applyBorder="1" applyAlignment="1">
      <alignment horizontal="left" vertical="center"/>
    </xf>
    <xf numFmtId="49" fontId="31" fillId="0" borderId="16" xfId="0" applyNumberFormat="1" applyFont="1" applyBorder="1" applyAlignment="1">
      <alignment horizontal="center" vertical="top" wrapText="1"/>
    </xf>
    <xf numFmtId="49" fontId="31" fillId="0" borderId="53" xfId="0" applyNumberFormat="1" applyFont="1" applyBorder="1" applyAlignment="1">
      <alignment horizontal="center" vertical="top" wrapText="1"/>
    </xf>
    <xf numFmtId="49" fontId="31" fillId="0" borderId="57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33" fillId="6" borderId="81" xfId="4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4" fontId="3" fillId="0" borderId="19" xfId="4" applyNumberFormat="1" applyFont="1" applyBorder="1" applyAlignment="1">
      <alignment horizontal="center" vertical="center"/>
    </xf>
    <xf numFmtId="4" fontId="3" fillId="0" borderId="21" xfId="4" applyNumberFormat="1" applyFont="1" applyBorder="1" applyAlignment="1">
      <alignment horizontal="center" vertical="center"/>
    </xf>
    <xf numFmtId="0" fontId="25" fillId="0" borderId="17" xfId="4" applyFont="1" applyBorder="1" applyAlignment="1">
      <alignment horizontal="center" vertical="center" wrapText="1"/>
    </xf>
    <xf numFmtId="0" fontId="25" fillId="0" borderId="0" xfId="4" applyFont="1" applyBorder="1" applyAlignment="1">
      <alignment horizontal="center" vertical="center" wrapText="1"/>
    </xf>
    <xf numFmtId="0" fontId="25" fillId="0" borderId="57" xfId="4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9" fillId="0" borderId="0" xfId="4" applyFont="1" applyBorder="1" applyAlignment="1">
      <alignment horizontal="center" wrapText="1"/>
    </xf>
    <xf numFmtId="0" fontId="23" fillId="0" borderId="2" xfId="4" applyFont="1" applyBorder="1" applyAlignment="1">
      <alignment horizontal="right" vertical="center"/>
    </xf>
    <xf numFmtId="0" fontId="23" fillId="0" borderId="3" xfId="4" applyFont="1" applyBorder="1" applyAlignment="1">
      <alignment horizontal="right" vertical="center"/>
    </xf>
    <xf numFmtId="0" fontId="23" fillId="0" borderId="4" xfId="4" applyFont="1" applyBorder="1" applyAlignment="1">
      <alignment horizontal="right" vertical="center"/>
    </xf>
    <xf numFmtId="10" fontId="23" fillId="0" borderId="2" xfId="4" applyNumberFormat="1" applyFont="1" applyBorder="1" applyAlignment="1">
      <alignment horizontal="right" vertical="center"/>
    </xf>
    <xf numFmtId="0" fontId="5" fillId="0" borderId="62" xfId="0" applyFont="1" applyBorder="1" applyAlignment="1">
      <alignment horizontal="right" vertical="center"/>
    </xf>
    <xf numFmtId="0" fontId="5" fillId="0" borderId="63" xfId="0" applyFont="1" applyBorder="1" applyAlignment="1">
      <alignment horizontal="right" vertical="center"/>
    </xf>
    <xf numFmtId="0" fontId="5" fillId="0" borderId="64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65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168" fontId="15" fillId="8" borderId="45" xfId="5" applyNumberFormat="1" applyFont="1" applyFill="1" applyBorder="1" applyAlignment="1">
      <alignment horizontal="center" vertical="center" wrapText="1"/>
    </xf>
    <xf numFmtId="168" fontId="15" fillId="8" borderId="48" xfId="5" applyNumberFormat="1" applyFont="1" applyFill="1" applyBorder="1" applyAlignment="1">
      <alignment horizontal="center" vertical="center" wrapText="1"/>
    </xf>
    <xf numFmtId="0" fontId="15" fillId="8" borderId="45" xfId="11" applyFont="1" applyFill="1" applyBorder="1" applyAlignment="1">
      <alignment horizontal="justify" vertical="center" wrapText="1"/>
    </xf>
    <xf numFmtId="0" fontId="15" fillId="8" borderId="48" xfId="11" applyFont="1" applyFill="1" applyBorder="1" applyAlignment="1">
      <alignment horizontal="justify" vertical="center" wrapText="1"/>
    </xf>
    <xf numFmtId="0" fontId="15" fillId="8" borderId="45" xfId="11" applyFont="1" applyFill="1" applyBorder="1" applyAlignment="1">
      <alignment horizontal="center" vertical="center" wrapText="1"/>
    </xf>
    <xf numFmtId="0" fontId="15" fillId="8" borderId="48" xfId="11" applyFont="1" applyFill="1" applyBorder="1" applyAlignment="1">
      <alignment horizontal="center" vertical="center" wrapText="1"/>
    </xf>
    <xf numFmtId="0" fontId="19" fillId="10" borderId="3" xfId="8" applyFont="1" applyFill="1" applyBorder="1" applyAlignment="1">
      <alignment horizontal="right" vertical="center"/>
    </xf>
    <xf numFmtId="0" fontId="19" fillId="10" borderId="4" xfId="8" applyFont="1" applyFill="1" applyBorder="1" applyAlignment="1">
      <alignment horizontal="right" vertical="center"/>
    </xf>
    <xf numFmtId="0" fontId="19" fillId="0" borderId="70" xfId="4" applyFont="1" applyBorder="1" applyAlignment="1">
      <alignment horizontal="right" vertical="center"/>
    </xf>
    <xf numFmtId="0" fontId="19" fillId="0" borderId="71" xfId="4" applyFont="1" applyBorder="1" applyAlignment="1">
      <alignment horizontal="right" vertical="center"/>
    </xf>
    <xf numFmtId="0" fontId="15" fillId="7" borderId="45" xfId="11" applyFont="1" applyFill="1" applyBorder="1" applyAlignment="1">
      <alignment horizontal="center" vertical="center" wrapText="1"/>
    </xf>
    <xf numFmtId="0" fontId="15" fillId="7" borderId="48" xfId="11" applyFont="1" applyFill="1" applyBorder="1" applyAlignment="1">
      <alignment horizontal="center" vertical="center" wrapText="1"/>
    </xf>
    <xf numFmtId="10" fontId="14" fillId="4" borderId="45" xfId="10" applyNumberFormat="1" applyFont="1" applyFill="1" applyBorder="1" applyAlignment="1">
      <alignment horizontal="center" vertical="center"/>
    </xf>
    <xf numFmtId="10" fontId="14" fillId="4" borderId="48" xfId="10" applyNumberFormat="1" applyFont="1" applyFill="1" applyBorder="1" applyAlignment="1">
      <alignment horizontal="center" vertical="center"/>
    </xf>
    <xf numFmtId="10" fontId="10" fillId="0" borderId="42" xfId="14" applyNumberFormat="1" applyFont="1" applyBorder="1" applyAlignment="1">
      <alignment horizontal="center" vertical="center" wrapText="1"/>
    </xf>
    <xf numFmtId="10" fontId="10" fillId="0" borderId="26" xfId="14" applyNumberFormat="1" applyFont="1" applyBorder="1" applyAlignment="1">
      <alignment horizontal="center" vertical="center" wrapText="1"/>
    </xf>
    <xf numFmtId="0" fontId="11" fillId="0" borderId="46" xfId="10" applyFont="1" applyBorder="1" applyAlignment="1">
      <alignment horizontal="center" vertical="center" wrapText="1"/>
    </xf>
    <xf numFmtId="0" fontId="11" fillId="0" borderId="28" xfId="10" applyFont="1" applyBorder="1" applyAlignment="1">
      <alignment horizontal="center" vertical="center" wrapText="1"/>
    </xf>
    <xf numFmtId="49" fontId="8" fillId="4" borderId="15" xfId="10" applyNumberFormat="1" applyFont="1" applyFill="1" applyBorder="1" applyAlignment="1">
      <alignment horizontal="center" vertical="center" wrapText="1"/>
    </xf>
    <xf numFmtId="49" fontId="8" fillId="4" borderId="16" xfId="10" applyNumberFormat="1" applyFont="1" applyFill="1" applyBorder="1" applyAlignment="1">
      <alignment horizontal="center" vertical="center" wrapText="1"/>
    </xf>
    <xf numFmtId="49" fontId="8" fillId="4" borderId="53" xfId="10" applyNumberFormat="1" applyFont="1" applyFill="1" applyBorder="1" applyAlignment="1">
      <alignment horizontal="center" vertical="center" wrapText="1"/>
    </xf>
    <xf numFmtId="49" fontId="8" fillId="4" borderId="25" xfId="10" applyNumberFormat="1" applyFont="1" applyFill="1" applyBorder="1" applyAlignment="1">
      <alignment horizontal="center" vertical="center" wrapText="1"/>
    </xf>
    <xf numFmtId="49" fontId="8" fillId="4" borderId="9" xfId="10" applyNumberFormat="1" applyFont="1" applyFill="1" applyBorder="1" applyAlignment="1">
      <alignment horizontal="center" vertical="center" wrapText="1"/>
    </xf>
    <xf numFmtId="49" fontId="8" fillId="4" borderId="58" xfId="10" applyNumberFormat="1" applyFont="1" applyFill="1" applyBorder="1" applyAlignment="1">
      <alignment horizontal="center" vertical="center" wrapText="1"/>
    </xf>
    <xf numFmtId="0" fontId="11" fillId="0" borderId="5" xfId="10" applyFont="1" applyBorder="1" applyAlignment="1">
      <alignment horizontal="center" vertical="center" wrapText="1"/>
    </xf>
    <xf numFmtId="0" fontId="11" fillId="0" borderId="7" xfId="10" applyFont="1" applyBorder="1" applyAlignment="1">
      <alignment horizontal="center" vertical="center" wrapText="1"/>
    </xf>
    <xf numFmtId="0" fontId="11" fillId="0" borderId="43" xfId="10" applyFont="1" applyBorder="1" applyAlignment="1">
      <alignment horizontal="center" vertical="center" wrapText="1"/>
    </xf>
    <xf numFmtId="0" fontId="11" fillId="0" borderId="44" xfId="10" applyFont="1" applyBorder="1" applyAlignment="1">
      <alignment horizontal="center" vertical="center" wrapText="1"/>
    </xf>
    <xf numFmtId="0" fontId="9" fillId="0" borderId="15" xfId="10" applyFont="1" applyFill="1" applyBorder="1" applyAlignment="1">
      <alignment horizontal="center" vertical="center"/>
    </xf>
    <xf numFmtId="0" fontId="9" fillId="0" borderId="16" xfId="10" applyFont="1" applyFill="1" applyBorder="1" applyAlignment="1">
      <alignment horizontal="center" vertical="center"/>
    </xf>
    <xf numFmtId="0" fontId="9" fillId="0" borderId="53" xfId="10" applyFont="1" applyFill="1" applyBorder="1" applyAlignment="1">
      <alignment horizontal="center" vertical="center"/>
    </xf>
    <xf numFmtId="0" fontId="9" fillId="0" borderId="54" xfId="10" applyFont="1" applyFill="1" applyBorder="1" applyAlignment="1">
      <alignment horizontal="center" vertical="center"/>
    </xf>
    <xf numFmtId="0" fontId="9" fillId="0" borderId="18" xfId="10" applyFont="1" applyFill="1" applyBorder="1" applyAlignment="1">
      <alignment horizontal="center" vertical="center"/>
    </xf>
    <xf numFmtId="0" fontId="9" fillId="0" borderId="55" xfId="10" applyFont="1" applyFill="1" applyBorder="1" applyAlignment="1">
      <alignment horizontal="center" vertical="center"/>
    </xf>
    <xf numFmtId="0" fontId="3" fillId="0" borderId="15" xfId="10" applyFont="1" applyBorder="1" applyAlignment="1">
      <alignment horizontal="center" vertical="center"/>
    </xf>
    <xf numFmtId="0" fontId="3" fillId="0" borderId="56" xfId="10" applyFont="1" applyBorder="1" applyAlignment="1">
      <alignment horizontal="center" vertical="center"/>
    </xf>
    <xf numFmtId="0" fontId="3" fillId="0" borderId="54" xfId="10" applyFont="1" applyBorder="1" applyAlignment="1">
      <alignment horizontal="center" vertical="center"/>
    </xf>
    <xf numFmtId="0" fontId="3" fillId="0" borderId="44" xfId="10" applyFont="1" applyBorder="1" applyAlignment="1">
      <alignment horizontal="center" vertical="center"/>
    </xf>
    <xf numFmtId="0" fontId="0" fillId="0" borderId="15" xfId="10" applyFont="1" applyFill="1" applyBorder="1" applyAlignment="1">
      <alignment horizontal="center" vertical="center"/>
    </xf>
    <xf numFmtId="0" fontId="0" fillId="0" borderId="16" xfId="10" applyFont="1" applyFill="1" applyBorder="1" applyAlignment="1">
      <alignment horizontal="center" vertical="center"/>
    </xf>
    <xf numFmtId="0" fontId="8" fillId="0" borderId="22" xfId="10" applyFont="1" applyFill="1" applyBorder="1" applyAlignment="1">
      <alignment horizontal="center" vertical="center"/>
    </xf>
    <xf numFmtId="0" fontId="8" fillId="0" borderId="26" xfId="10" applyFont="1" applyFill="1" applyBorder="1" applyAlignment="1">
      <alignment horizontal="center" vertical="center"/>
    </xf>
    <xf numFmtId="0" fontId="0" fillId="0" borderId="42" xfId="10" applyFont="1" applyBorder="1" applyAlignment="1">
      <alignment horizontal="center" vertical="center"/>
    </xf>
    <xf numFmtId="0" fontId="0" fillId="0" borderId="47" xfId="10" applyFont="1" applyBorder="1" applyAlignment="1">
      <alignment horizontal="center" vertical="center"/>
    </xf>
    <xf numFmtId="0" fontId="8" fillId="0" borderId="23" xfId="10" applyFont="1" applyFill="1" applyBorder="1" applyAlignment="1">
      <alignment horizontal="center" vertical="center"/>
    </xf>
    <xf numFmtId="0" fontId="8" fillId="0" borderId="27" xfId="10" applyFont="1" applyFill="1" applyBorder="1" applyAlignment="1">
      <alignment horizontal="center" vertical="center"/>
    </xf>
    <xf numFmtId="0" fontId="0" fillId="0" borderId="45" xfId="10" applyFont="1" applyFill="1" applyBorder="1" applyAlignment="1">
      <alignment horizontal="left" vertical="center"/>
    </xf>
    <xf numFmtId="0" fontId="0" fillId="0" borderId="48" xfId="10" applyFont="1" applyFill="1" applyBorder="1" applyAlignment="1">
      <alignment horizontal="left" vertical="center"/>
    </xf>
    <xf numFmtId="0" fontId="8" fillId="0" borderId="24" xfId="10" applyFont="1" applyFill="1" applyBorder="1" applyAlignment="1">
      <alignment horizontal="center" vertical="center"/>
    </xf>
    <xf numFmtId="0" fontId="8" fillId="0" borderId="28" xfId="10" applyFont="1" applyFill="1" applyBorder="1" applyAlignment="1">
      <alignment horizontal="center" vertical="center"/>
    </xf>
    <xf numFmtId="10" fontId="12" fillId="6" borderId="46" xfId="14" applyNumberFormat="1" applyFont="1" applyFill="1" applyBorder="1" applyAlignment="1" applyProtection="1">
      <alignment horizontal="center" vertical="center"/>
      <protection locked="0"/>
    </xf>
    <xf numFmtId="10" fontId="12" fillId="6" borderId="49" xfId="14" applyNumberFormat="1" applyFont="1" applyFill="1" applyBorder="1" applyAlignment="1" applyProtection="1">
      <alignment horizontal="center" vertical="center"/>
      <protection locked="0"/>
    </xf>
    <xf numFmtId="0" fontId="0" fillId="0" borderId="19" xfId="10" applyFont="1" applyBorder="1" applyAlignment="1">
      <alignment horizontal="center" vertical="center"/>
    </xf>
    <xf numFmtId="0" fontId="0" fillId="0" borderId="20" xfId="10" applyFont="1" applyBorder="1" applyAlignment="1">
      <alignment horizontal="center" vertical="center"/>
    </xf>
    <xf numFmtId="0" fontId="9" fillId="0" borderId="33" xfId="10" applyFont="1" applyFill="1" applyBorder="1" applyAlignment="1">
      <alignment horizontal="justify" vertical="center" wrapText="1"/>
    </xf>
    <xf numFmtId="0" fontId="9" fillId="0" borderId="34" xfId="10" applyFont="1" applyFill="1" applyBorder="1" applyAlignment="1">
      <alignment horizontal="justify" vertical="center" wrapText="1"/>
    </xf>
    <xf numFmtId="49" fontId="8" fillId="4" borderId="40" xfId="10" applyNumberFormat="1" applyFont="1" applyFill="1" applyBorder="1" applyAlignment="1">
      <alignment horizontal="center" vertical="center" wrapText="1"/>
    </xf>
    <xf numFmtId="49" fontId="8" fillId="4" borderId="41" xfId="10" applyNumberFormat="1" applyFont="1" applyFill="1" applyBorder="1" applyAlignment="1">
      <alignment horizontal="center" vertical="center" wrapText="1"/>
    </xf>
    <xf numFmtId="49" fontId="8" fillId="4" borderId="34" xfId="10" applyNumberFormat="1" applyFont="1" applyFill="1" applyBorder="1" applyAlignment="1">
      <alignment horizontal="center" vertical="center" wrapText="1"/>
    </xf>
    <xf numFmtId="10" fontId="0" fillId="0" borderId="51" xfId="14" applyNumberFormat="1" applyFont="1" applyBorder="1" applyAlignment="1">
      <alignment horizontal="center" vertical="center"/>
    </xf>
    <xf numFmtId="10" fontId="0" fillId="0" borderId="52" xfId="14" applyNumberFormat="1" applyFont="1" applyBorder="1" applyAlignment="1">
      <alignment horizontal="center" vertical="center"/>
    </xf>
    <xf numFmtId="0" fontId="9" fillId="0" borderId="38" xfId="10" applyFont="1" applyFill="1" applyBorder="1" applyAlignment="1">
      <alignment horizontal="right" vertical="center"/>
    </xf>
    <xf numFmtId="0" fontId="9" fillId="0" borderId="31" xfId="10" applyFont="1" applyFill="1" applyBorder="1" applyAlignment="1">
      <alignment horizontal="right" vertical="center"/>
    </xf>
    <xf numFmtId="10" fontId="0" fillId="0" borderId="33" xfId="14" applyNumberFormat="1" applyFont="1" applyBorder="1" applyAlignment="1">
      <alignment horizontal="center" vertical="center"/>
    </xf>
    <xf numFmtId="10" fontId="0" fillId="0" borderId="35" xfId="14" applyNumberFormat="1" applyFont="1" applyBorder="1" applyAlignment="1">
      <alignment horizontal="center" vertical="center"/>
    </xf>
    <xf numFmtId="10" fontId="0" fillId="0" borderId="30" xfId="14" applyNumberFormat="1" applyFont="1" applyBorder="1" applyAlignment="1">
      <alignment horizontal="center" vertical="center"/>
    </xf>
    <xf numFmtId="10" fontId="0" fillId="0" borderId="31" xfId="14" applyNumberFormat="1" applyFont="1" applyBorder="1" applyAlignment="1">
      <alignment horizontal="center" vertical="center"/>
    </xf>
    <xf numFmtId="10" fontId="0" fillId="0" borderId="2" xfId="14" applyNumberFormat="1" applyFont="1" applyBorder="1" applyAlignment="1">
      <alignment horizontal="center" vertical="center"/>
    </xf>
    <xf numFmtId="10" fontId="0" fillId="0" borderId="4" xfId="14" applyNumberFormat="1" applyFont="1" applyBorder="1" applyAlignment="1">
      <alignment horizontal="center" vertical="center"/>
    </xf>
    <xf numFmtId="49" fontId="5" fillId="4" borderId="19" xfId="10" applyNumberFormat="1" applyFont="1" applyFill="1" applyBorder="1" applyAlignment="1">
      <alignment horizontal="center" vertical="center"/>
    </xf>
    <xf numFmtId="49" fontId="5" fillId="4" borderId="20" xfId="10" applyNumberFormat="1" applyFont="1" applyFill="1" applyBorder="1" applyAlignment="1">
      <alignment horizontal="center" vertical="center"/>
    </xf>
    <xf numFmtId="49" fontId="5" fillId="4" borderId="21" xfId="10" applyNumberFormat="1" applyFont="1" applyFill="1" applyBorder="1" applyAlignment="1">
      <alignment horizontal="center" vertical="center"/>
    </xf>
    <xf numFmtId="0" fontId="8" fillId="5" borderId="30" xfId="10" applyFont="1" applyFill="1" applyBorder="1" applyAlignment="1">
      <alignment horizontal="center" vertical="center"/>
    </xf>
    <xf numFmtId="0" fontId="8" fillId="5" borderId="31" xfId="10" applyFont="1" applyFill="1" applyBorder="1" applyAlignment="1">
      <alignment horizontal="center" vertical="center"/>
    </xf>
    <xf numFmtId="0" fontId="0" fillId="0" borderId="19" xfId="10" applyFont="1" applyBorder="1" applyAlignment="1">
      <alignment vertical="center"/>
    </xf>
    <xf numFmtId="0" fontId="0" fillId="0" borderId="20" xfId="10" applyFont="1" applyBorder="1" applyAlignment="1">
      <alignment vertical="center"/>
    </xf>
    <xf numFmtId="0" fontId="7" fillId="0" borderId="33" xfId="10" applyFont="1" applyBorder="1" applyAlignment="1">
      <alignment horizontal="center"/>
    </xf>
    <xf numFmtId="0" fontId="7" fillId="0" borderId="35" xfId="10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49" fontId="41" fillId="4" borderId="19" xfId="10" applyNumberFormat="1" applyFont="1" applyFill="1" applyBorder="1" applyAlignment="1">
      <alignment horizontal="center" vertical="center"/>
    </xf>
    <xf numFmtId="0" fontId="2" fillId="0" borderId="5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0" fontId="2" fillId="0" borderId="10" xfId="6" applyFont="1" applyBorder="1" applyAlignment="1">
      <alignment horizontal="center" vertical="center" wrapText="1"/>
    </xf>
    <xf numFmtId="0" fontId="3" fillId="0" borderId="1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0" fontId="3" fillId="0" borderId="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/>
    </xf>
    <xf numFmtId="0" fontId="2" fillId="0" borderId="3" xfId="8" applyFont="1" applyBorder="1" applyAlignment="1">
      <alignment horizontal="center"/>
    </xf>
    <xf numFmtId="0" fontId="2" fillId="0" borderId="4" xfId="8" applyFont="1" applyBorder="1" applyAlignment="1">
      <alignment horizontal="center"/>
    </xf>
    <xf numFmtId="165" fontId="3" fillId="0" borderId="1" xfId="8" applyNumberFormat="1" applyFont="1" applyBorder="1" applyAlignment="1">
      <alignment horizontal="center" vertical="center"/>
    </xf>
    <xf numFmtId="2" fontId="22" fillId="0" borderId="1" xfId="3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</cellXfs>
  <cellStyles count="15">
    <cellStyle name="Moeda" xfId="3" builtinId="4"/>
    <cellStyle name="Moeda 2" xfId="5"/>
    <cellStyle name="Normal" xfId="0" builtinId="0"/>
    <cellStyle name="Normal 11" xfId="6"/>
    <cellStyle name="Normal 2" xfId="4"/>
    <cellStyle name="Normal 2 2" xfId="8"/>
    <cellStyle name="Normal 3" xfId="9"/>
    <cellStyle name="Normal 6" xfId="10"/>
    <cellStyle name="Normal_Pesquisa no referencial 10 de maio de 2013" xfId="11"/>
    <cellStyle name="Porcentagem" xfId="2" builtinId="5"/>
    <cellStyle name="Porcentagem 2" xfId="12"/>
    <cellStyle name="Separador de milhares 2" xfId="7"/>
    <cellStyle name="Vírgula" xfId="1" builtinId="3"/>
    <cellStyle name="Vírgula 2" xfId="13"/>
    <cellStyle name="Vírgula 6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22112</xdr:rowOff>
    </xdr:from>
    <xdr:to>
      <xdr:col>3</xdr:col>
      <xdr:colOff>207467</xdr:colOff>
      <xdr:row>2</xdr:row>
      <xdr:rowOff>38100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" y="22112"/>
          <a:ext cx="2074366" cy="4731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1876425</xdr:colOff>
      <xdr:row>3</xdr:row>
      <xdr:rowOff>38100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7625" y="47625"/>
          <a:ext cx="24288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11681</xdr:colOff>
      <xdr:row>0</xdr:row>
      <xdr:rowOff>20667</xdr:rowOff>
    </xdr:from>
    <xdr:to>
      <xdr:col>1</xdr:col>
      <xdr:colOff>1599481</xdr:colOff>
      <xdr:row>2</xdr:row>
      <xdr:rowOff>26958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" y="20320"/>
          <a:ext cx="2206625" cy="46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" y="0"/>
          <a:ext cx="1733550" cy="456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3</xdr:col>
      <xdr:colOff>381000</xdr:colOff>
      <xdr:row>3</xdr:row>
      <xdr:rowOff>65449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8100" y="44450"/>
          <a:ext cx="3000375" cy="506774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2</xdr:col>
      <xdr:colOff>790575</xdr:colOff>
      <xdr:row>3</xdr:row>
      <xdr:rowOff>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525" y="0"/>
          <a:ext cx="2552700" cy="4857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152400</xdr:rowOff>
    </xdr:from>
    <xdr:to>
      <xdr:col>2</xdr:col>
      <xdr:colOff>1011843</xdr:colOff>
      <xdr:row>2</xdr:row>
      <xdr:rowOff>152399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600075" y="152400"/>
          <a:ext cx="2031018" cy="419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1</xdr:row>
      <xdr:rowOff>127001</xdr:rowOff>
    </xdr:from>
    <xdr:to>
      <xdr:col>6</xdr:col>
      <xdr:colOff>638175</xdr:colOff>
      <xdr:row>4</xdr:row>
      <xdr:rowOff>142876</xdr:rowOff>
    </xdr:to>
    <xdr:sp macro="" textlink="">
      <xdr:nvSpPr>
        <xdr:cNvPr id="2" name="CaixaDeTexto 1"/>
        <xdr:cNvSpPr txBox="1"/>
      </xdr:nvSpPr>
      <xdr:spPr>
        <a:xfrm>
          <a:off x="3286125" y="288925"/>
          <a:ext cx="3895725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1</xdr:col>
      <xdr:colOff>9526</xdr:colOff>
      <xdr:row>1</xdr:row>
      <xdr:rowOff>133350</xdr:rowOff>
    </xdr:from>
    <xdr:to>
      <xdr:col>2</xdr:col>
      <xdr:colOff>234744</xdr:colOff>
      <xdr:row>4</xdr:row>
      <xdr:rowOff>76200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9600" y="295275"/>
          <a:ext cx="263461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51"/>
  <sheetViews>
    <sheetView showGridLines="0" tabSelected="1" view="pageBreakPreview" topLeftCell="A37" zoomScaleSheetLayoutView="100" workbookViewId="0">
      <selection activeCell="A12" sqref="A12:A19"/>
    </sheetView>
  </sheetViews>
  <sheetFormatPr defaultColWidth="9.140625" defaultRowHeight="12.75"/>
  <cols>
    <col min="1" max="1" width="8.140625" style="218" customWidth="1"/>
    <col min="2" max="2" width="11.28515625" style="218" customWidth="1"/>
    <col min="3" max="3" width="8.5703125" style="218" bestFit="1" customWidth="1"/>
    <col min="4" max="4" width="63" style="218" customWidth="1"/>
    <col min="5" max="5" width="7" style="218" customWidth="1"/>
    <col min="6" max="6" width="16.140625" style="219" customWidth="1"/>
    <col min="7" max="8" width="15.7109375" style="219" customWidth="1"/>
    <col min="9" max="10" width="16.140625" style="220" customWidth="1"/>
    <col min="11" max="11" width="9.140625" style="218"/>
    <col min="12" max="12" width="10.140625" style="218" customWidth="1"/>
    <col min="13" max="13" width="12.85546875" style="218" customWidth="1"/>
    <col min="14" max="14" width="12.85546875" style="218"/>
    <col min="15" max="16384" width="9.140625" style="218"/>
  </cols>
  <sheetData>
    <row r="1" spans="1:15" s="132" customFormat="1" ht="18" customHeight="1">
      <c r="A1" s="221"/>
      <c r="B1" s="221"/>
      <c r="C1" s="221"/>
      <c r="D1" s="290" t="s">
        <v>0</v>
      </c>
      <c r="E1" s="290"/>
      <c r="F1" s="290"/>
      <c r="G1" s="290"/>
      <c r="H1" s="290"/>
      <c r="I1" s="290"/>
      <c r="J1" s="275" t="s">
        <v>351</v>
      </c>
    </row>
    <row r="2" spans="1:15" s="132" customFormat="1" ht="18" customHeight="1">
      <c r="A2" s="221"/>
      <c r="B2" s="221"/>
      <c r="C2" s="221"/>
      <c r="D2" s="290" t="s">
        <v>1</v>
      </c>
      <c r="E2" s="290"/>
      <c r="F2" s="290"/>
      <c r="G2" s="290"/>
      <c r="H2" s="290"/>
      <c r="I2" s="290"/>
      <c r="J2" s="275"/>
    </row>
    <row r="3" spans="1:15" s="132" customFormat="1" ht="18" customHeight="1">
      <c r="A3" s="221"/>
      <c r="B3" s="221"/>
      <c r="C3" s="221"/>
      <c r="D3" s="290" t="s">
        <v>2</v>
      </c>
      <c r="E3" s="290"/>
      <c r="F3" s="290"/>
      <c r="G3" s="290"/>
      <c r="H3" s="290"/>
      <c r="I3" s="290"/>
      <c r="J3" s="275"/>
    </row>
    <row r="4" spans="1:15" s="133" customFormat="1" ht="12.75" customHeight="1">
      <c r="A4" s="222"/>
      <c r="B4" s="222"/>
      <c r="C4" s="222"/>
      <c r="D4" s="140"/>
      <c r="E4" s="141"/>
      <c r="F4" s="142"/>
      <c r="G4" s="143"/>
      <c r="H4" s="143"/>
      <c r="I4" s="143"/>
      <c r="J4" s="275"/>
      <c r="L4" s="133">
        <f>I12/4+I16</f>
        <v>8900.0424999999996</v>
      </c>
      <c r="M4" s="133">
        <f>L4/I20</f>
        <v>0.17254153239025294</v>
      </c>
    </row>
    <row r="5" spans="1:15" customFormat="1" ht="40.5" customHeight="1">
      <c r="A5" s="291" t="s">
        <v>3</v>
      </c>
      <c r="B5" s="291"/>
      <c r="C5" s="291"/>
      <c r="D5" s="291"/>
      <c r="E5" s="291"/>
      <c r="F5" s="291"/>
      <c r="G5" s="291"/>
      <c r="H5" s="291"/>
      <c r="I5" s="291"/>
      <c r="J5" s="275"/>
    </row>
    <row r="6" spans="1:15" customFormat="1" ht="3" customHeight="1">
      <c r="A6" s="223"/>
      <c r="B6" s="223"/>
      <c r="C6" s="223"/>
      <c r="D6" s="224"/>
      <c r="E6" s="224"/>
      <c r="F6" s="225"/>
      <c r="G6" s="223"/>
      <c r="H6" s="223"/>
      <c r="I6" s="81"/>
      <c r="J6" s="275"/>
    </row>
    <row r="7" spans="1:15" customFormat="1" ht="12.75" customHeight="1">
      <c r="A7" s="292" t="s">
        <v>4</v>
      </c>
      <c r="B7" s="292"/>
      <c r="C7" s="292"/>
      <c r="D7" s="226">
        <f>BDI!D36</f>
        <v>0.2261</v>
      </c>
      <c r="E7" s="292" t="s">
        <v>5</v>
      </c>
      <c r="F7" s="292"/>
      <c r="G7" s="226">
        <f>'ENCARGOS SOCIAIS'!F52</f>
        <v>1.1446999999999998</v>
      </c>
      <c r="H7" s="219"/>
      <c r="I7" s="254"/>
      <c r="J7" s="275"/>
    </row>
    <row r="8" spans="1:15" ht="12.75" customHeight="1">
      <c r="A8" s="88" t="s">
        <v>6</v>
      </c>
      <c r="B8" s="286" t="s">
        <v>7</v>
      </c>
      <c r="C8" s="286"/>
      <c r="D8" s="286"/>
      <c r="E8" s="227"/>
      <c r="F8" s="227"/>
      <c r="G8" s="227"/>
      <c r="H8" s="227"/>
      <c r="I8" s="227"/>
      <c r="J8" s="275"/>
    </row>
    <row r="9" spans="1:15" ht="21" customHeight="1">
      <c r="A9" s="287" t="s">
        <v>8</v>
      </c>
      <c r="B9" s="288"/>
      <c r="C9" s="288"/>
      <c r="D9" s="288"/>
      <c r="E9" s="288"/>
      <c r="F9" s="288"/>
      <c r="G9" s="288"/>
      <c r="H9" s="288"/>
      <c r="I9" s="289"/>
      <c r="J9" s="269">
        <v>1.61E-2</v>
      </c>
      <c r="L9" s="218">
        <f>I12*0.33</f>
        <v>11267.6157</v>
      </c>
    </row>
    <row r="10" spans="1:15" ht="89.25">
      <c r="A10" s="228" t="s">
        <v>9</v>
      </c>
      <c r="B10" s="229" t="s">
        <v>10</v>
      </c>
      <c r="C10" s="229" t="s">
        <v>11</v>
      </c>
      <c r="D10" s="230" t="s">
        <v>12</v>
      </c>
      <c r="E10" s="231" t="s">
        <v>13</v>
      </c>
      <c r="F10" s="232" t="s">
        <v>14</v>
      </c>
      <c r="G10" s="232" t="s">
        <v>15</v>
      </c>
      <c r="H10" s="232" t="s">
        <v>348</v>
      </c>
      <c r="I10" s="255" t="s">
        <v>349</v>
      </c>
      <c r="J10" s="255" t="s">
        <v>350</v>
      </c>
      <c r="L10" s="218">
        <f>L9/I20</f>
        <v>0.2184407185990935</v>
      </c>
    </row>
    <row r="11" spans="1:15" s="216" customFormat="1" ht="20.100000000000001" customHeight="1">
      <c r="A11" s="233">
        <v>1</v>
      </c>
      <c r="C11" s="234"/>
      <c r="D11" s="235" t="s">
        <v>16</v>
      </c>
      <c r="E11" s="280"/>
      <c r="F11" s="280"/>
      <c r="G11" s="280"/>
      <c r="H11" s="280"/>
      <c r="I11" s="281"/>
      <c r="J11" s="265"/>
    </row>
    <row r="12" spans="1:15" ht="18" customHeight="1">
      <c r="A12" s="237" t="s">
        <v>17</v>
      </c>
      <c r="B12" s="238" t="s">
        <v>18</v>
      </c>
      <c r="C12" s="239" t="s">
        <v>346</v>
      </c>
      <c r="D12" s="181" t="s">
        <v>19</v>
      </c>
      <c r="E12" s="179" t="s">
        <v>20</v>
      </c>
      <c r="F12" s="240">
        <v>1</v>
      </c>
      <c r="G12" s="183">
        <f>'CPU 01 - SERVIÇOS PRELIMINARES'!H16*4</f>
        <v>27847.88</v>
      </c>
      <c r="H12" s="183">
        <f t="shared" ref="H12:H16" si="0">ROUND(G12*(1+$D$7),2)</f>
        <v>34144.29</v>
      </c>
      <c r="I12" s="256">
        <f t="shared" ref="I12:I19" si="1">ROUND(F12*H12,2)</f>
        <v>34144.29</v>
      </c>
      <c r="J12" s="256">
        <f>ROUND(I12*(1+$J$9),2)</f>
        <v>34694.01</v>
      </c>
      <c r="L12" s="257">
        <f>I12/I46</f>
        <v>6.9388187090699993E-2</v>
      </c>
      <c r="M12" s="218">
        <f>I12/3</f>
        <v>11381.43</v>
      </c>
      <c r="N12" s="218">
        <f>I12/3</f>
        <v>11381.43</v>
      </c>
      <c r="O12" s="218">
        <f>I12/3</f>
        <v>11381.43</v>
      </c>
    </row>
    <row r="13" spans="1:15">
      <c r="A13" s="270" t="s">
        <v>21</v>
      </c>
      <c r="B13" s="263" t="s">
        <v>40</v>
      </c>
      <c r="C13" s="239">
        <v>10775</v>
      </c>
      <c r="D13" s="181" t="s">
        <v>354</v>
      </c>
      <c r="E13" s="264" t="s">
        <v>151</v>
      </c>
      <c r="F13" s="241">
        <v>4</v>
      </c>
      <c r="G13" s="183">
        <v>870</v>
      </c>
      <c r="H13" s="183">
        <f t="shared" si="0"/>
        <v>1066.71</v>
      </c>
      <c r="I13" s="256">
        <f t="shared" si="1"/>
        <v>4266.84</v>
      </c>
      <c r="J13" s="256">
        <f t="shared" ref="J13:J14" si="2">ROUND(I13*(1+$J$9),2)</f>
        <v>4335.54</v>
      </c>
      <c r="M13" s="219"/>
    </row>
    <row r="14" spans="1:15">
      <c r="A14" s="270" t="s">
        <v>25</v>
      </c>
      <c r="B14" s="263" t="s">
        <v>34</v>
      </c>
      <c r="C14" s="239">
        <v>4299</v>
      </c>
      <c r="D14" s="181" t="s">
        <v>355</v>
      </c>
      <c r="E14" s="264" t="s">
        <v>151</v>
      </c>
      <c r="F14" s="241">
        <v>4</v>
      </c>
      <c r="G14" s="183">
        <v>654.41999999999996</v>
      </c>
      <c r="H14" s="183">
        <f t="shared" si="0"/>
        <v>802.38</v>
      </c>
      <c r="I14" s="256">
        <f t="shared" si="1"/>
        <v>3209.52</v>
      </c>
      <c r="J14" s="256">
        <f t="shared" si="2"/>
        <v>3261.19</v>
      </c>
      <c r="M14" s="219"/>
    </row>
    <row r="15" spans="1:15" ht="18" customHeight="1">
      <c r="A15" s="270" t="s">
        <v>369</v>
      </c>
      <c r="B15" s="238" t="s">
        <v>18</v>
      </c>
      <c r="C15" s="239" t="s">
        <v>22</v>
      </c>
      <c r="D15" s="181" t="s">
        <v>23</v>
      </c>
      <c r="E15" s="179" t="s">
        <v>24</v>
      </c>
      <c r="F15" s="241">
        <v>1</v>
      </c>
      <c r="G15" s="183">
        <f>'CPU 01 - SERVIÇOS PRELIMINARES'!H26</f>
        <v>296.84999999999997</v>
      </c>
      <c r="H15" s="183">
        <f t="shared" si="0"/>
        <v>363.97</v>
      </c>
      <c r="I15" s="256">
        <f t="shared" si="1"/>
        <v>363.97</v>
      </c>
      <c r="J15" s="256">
        <f t="shared" ref="J15:J19" si="3">ROUND(I15*(1+$J$9),2)</f>
        <v>369.83</v>
      </c>
      <c r="M15" s="219">
        <f>I15</f>
        <v>363.97</v>
      </c>
    </row>
    <row r="16" spans="1:15" ht="17.25" customHeight="1">
      <c r="A16" s="270" t="s">
        <v>30</v>
      </c>
      <c r="B16" s="238" t="s">
        <v>18</v>
      </c>
      <c r="C16" s="239" t="s">
        <v>22</v>
      </c>
      <c r="D16" s="181" t="s">
        <v>26</v>
      </c>
      <c r="E16" s="179" t="s">
        <v>24</v>
      </c>
      <c r="F16" s="241">
        <v>1</v>
      </c>
      <c r="G16" s="183">
        <f>'CPU 01 - SERVIÇOS PRELIMINARES'!H26</f>
        <v>296.84999999999997</v>
      </c>
      <c r="H16" s="183">
        <f t="shared" si="0"/>
        <v>363.97</v>
      </c>
      <c r="I16" s="256">
        <f t="shared" si="1"/>
        <v>363.97</v>
      </c>
      <c r="J16" s="256">
        <f t="shared" si="3"/>
        <v>369.83</v>
      </c>
      <c r="M16" s="219">
        <f>I16</f>
        <v>363.97</v>
      </c>
    </row>
    <row r="17" spans="1:15" ht="18" customHeight="1">
      <c r="A17" s="270" t="s">
        <v>33</v>
      </c>
      <c r="B17" s="238" t="s">
        <v>18</v>
      </c>
      <c r="C17" s="239" t="s">
        <v>27</v>
      </c>
      <c r="D17" s="181" t="s">
        <v>28</v>
      </c>
      <c r="E17" s="179" t="s">
        <v>29</v>
      </c>
      <c r="F17" s="241">
        <v>6.48</v>
      </c>
      <c r="G17" s="183">
        <f>H17/(1+$D$7)</f>
        <v>376.38039311638533</v>
      </c>
      <c r="H17" s="183">
        <f>'CPU 01 - SERVIÇOS PRELIMINARES'!H42</f>
        <v>461.48</v>
      </c>
      <c r="I17" s="256">
        <f t="shared" si="1"/>
        <v>2990.39</v>
      </c>
      <c r="J17" s="256">
        <f t="shared" si="3"/>
        <v>3038.54</v>
      </c>
      <c r="M17" s="219">
        <f>I17</f>
        <v>2990.39</v>
      </c>
    </row>
    <row r="18" spans="1:15" ht="18" customHeight="1">
      <c r="A18" s="270" t="s">
        <v>347</v>
      </c>
      <c r="B18" s="238" t="s">
        <v>18</v>
      </c>
      <c r="C18" s="239" t="s">
        <v>31</v>
      </c>
      <c r="D18" s="242" t="s">
        <v>32</v>
      </c>
      <c r="E18" s="179" t="s">
        <v>29</v>
      </c>
      <c r="F18" s="241">
        <f>'Memória de cálculo'!E10</f>
        <v>2550</v>
      </c>
      <c r="G18" s="183">
        <f>H18/(1+$D$7)</f>
        <v>0.40779708017290595</v>
      </c>
      <c r="H18" s="183">
        <f>'CPU 01 - SERVIÇOS PRELIMINARES'!H53</f>
        <v>0.5</v>
      </c>
      <c r="I18" s="256">
        <f t="shared" si="1"/>
        <v>1275</v>
      </c>
      <c r="J18" s="256">
        <f t="shared" si="3"/>
        <v>1295.53</v>
      </c>
      <c r="M18" s="219">
        <f>I18</f>
        <v>1275</v>
      </c>
    </row>
    <row r="19" spans="1:15" ht="18" customHeight="1">
      <c r="A19" s="270" t="s">
        <v>353</v>
      </c>
      <c r="B19" s="238" t="s">
        <v>34</v>
      </c>
      <c r="C19" s="239">
        <v>11510</v>
      </c>
      <c r="D19" s="242" t="s">
        <v>35</v>
      </c>
      <c r="E19" s="179" t="s">
        <v>36</v>
      </c>
      <c r="F19" s="241">
        <f>'Memória de cálculo'!H5/1000</f>
        <v>0.85</v>
      </c>
      <c r="G19" s="183">
        <v>4766.95</v>
      </c>
      <c r="H19" s="183">
        <f t="shared" ref="H19" si="4">ROUND(G19*(1+$D$7),2)</f>
        <v>5844.76</v>
      </c>
      <c r="I19" s="256">
        <f t="shared" si="1"/>
        <v>4968.05</v>
      </c>
      <c r="J19" s="256">
        <f t="shared" si="3"/>
        <v>5048.04</v>
      </c>
      <c r="M19" s="219">
        <f>I19</f>
        <v>4968.05</v>
      </c>
    </row>
    <row r="20" spans="1:15" ht="20.100000000000001" customHeight="1">
      <c r="A20" s="276"/>
      <c r="B20" s="277"/>
      <c r="C20" s="278"/>
      <c r="D20" s="278"/>
      <c r="E20" s="279" t="s">
        <v>37</v>
      </c>
      <c r="F20" s="279"/>
      <c r="G20" s="279"/>
      <c r="H20" s="279"/>
      <c r="I20" s="258">
        <f>SUM(I12:I19)</f>
        <v>51582.030000000006</v>
      </c>
      <c r="J20" s="258">
        <f>SUM(J12:J19)</f>
        <v>52412.510000000009</v>
      </c>
      <c r="M20" s="218">
        <f>SUM(M12:M17)</f>
        <v>15099.759999999998</v>
      </c>
      <c r="N20" s="218">
        <f>SUM(N12:N17)</f>
        <v>11381.43</v>
      </c>
      <c r="O20" s="218">
        <f>SUM(O12:O17)</f>
        <v>11381.43</v>
      </c>
    </row>
    <row r="21" spans="1:15" s="216" customFormat="1" ht="20.100000000000001" customHeight="1">
      <c r="A21" s="233">
        <v>2</v>
      </c>
      <c r="C21" s="234"/>
      <c r="D21" s="235" t="s">
        <v>38</v>
      </c>
      <c r="E21" s="280"/>
      <c r="F21" s="280"/>
      <c r="G21" s="280"/>
      <c r="H21" s="280"/>
      <c r="I21" s="281"/>
      <c r="J21" s="265"/>
    </row>
    <row r="22" spans="1:15" ht="38.25">
      <c r="A22" s="237" t="s">
        <v>39</v>
      </c>
      <c r="B22" s="238" t="s">
        <v>40</v>
      </c>
      <c r="C22" s="239">
        <v>98525</v>
      </c>
      <c r="D22" s="243" t="s">
        <v>41</v>
      </c>
      <c r="E22" s="179" t="s">
        <v>42</v>
      </c>
      <c r="F22" s="241">
        <f>'Memória de cálculo'!E9</f>
        <v>2550</v>
      </c>
      <c r="G22" s="183">
        <v>0.42</v>
      </c>
      <c r="H22" s="183">
        <f>ROUND(G22*(1+$D$7),2)</f>
        <v>0.51</v>
      </c>
      <c r="I22" s="256">
        <f>ROUND(F22*H22,2)</f>
        <v>1300.5</v>
      </c>
      <c r="J22" s="256">
        <f t="shared" ref="J22:J23" si="5">ROUND(I22*(1+$J$9),2)</f>
        <v>1321.44</v>
      </c>
      <c r="L22" s="218" t="str">
        <f>LOWER(D22)</f>
        <v>limpeza mecanizada de camada vegetal, vegetação e pequenas árvores (diâmetro de tronco menor que 0,20 m), com trator de esteiras.af_05/2018</v>
      </c>
    </row>
    <row r="23" spans="1:15" ht="25.5">
      <c r="A23" s="237" t="s">
        <v>43</v>
      </c>
      <c r="B23" s="238" t="s">
        <v>18</v>
      </c>
      <c r="C23" s="239" t="s">
        <v>44</v>
      </c>
      <c r="D23" s="181" t="s">
        <v>45</v>
      </c>
      <c r="E23" s="179" t="s">
        <v>29</v>
      </c>
      <c r="F23" s="241">
        <f>'Memória de cálculo'!E10</f>
        <v>2550</v>
      </c>
      <c r="G23" s="183">
        <f>'CPU 02'!H51</f>
        <v>2.2790250000000003</v>
      </c>
      <c r="H23" s="183">
        <f>ROUND(G23*(1+$D$7),2)</f>
        <v>2.79</v>
      </c>
      <c r="I23" s="256">
        <f>ROUND(F23*H23,2)</f>
        <v>7114.5</v>
      </c>
      <c r="J23" s="256">
        <f t="shared" si="5"/>
        <v>7229.04</v>
      </c>
    </row>
    <row r="24" spans="1:15" ht="21.95" customHeight="1">
      <c r="A24" s="276"/>
      <c r="B24" s="277"/>
      <c r="C24" s="278"/>
      <c r="D24" s="278"/>
      <c r="E24" s="279" t="s">
        <v>46</v>
      </c>
      <c r="F24" s="279"/>
      <c r="G24" s="279"/>
      <c r="H24" s="279"/>
      <c r="I24" s="258">
        <f>SUM(I22:I23)</f>
        <v>8415</v>
      </c>
      <c r="J24" s="258">
        <f>SUM(J22:J23)</f>
        <v>8550.48</v>
      </c>
    </row>
    <row r="25" spans="1:15" s="216" customFormat="1" ht="20.100000000000001" customHeight="1">
      <c r="A25" s="233">
        <v>3</v>
      </c>
      <c r="C25" s="234"/>
      <c r="D25" s="235" t="s">
        <v>47</v>
      </c>
      <c r="E25" s="280"/>
      <c r="F25" s="280"/>
      <c r="G25" s="280"/>
      <c r="H25" s="280"/>
      <c r="I25" s="285"/>
      <c r="J25" s="236"/>
      <c r="M25" s="259">
        <f>M20/I20</f>
        <v>0.29273295370500146</v>
      </c>
      <c r="N25" s="259">
        <f>N20/I20</f>
        <v>0.22064719050413484</v>
      </c>
      <c r="O25" s="259">
        <f>O20/I20</f>
        <v>0.22064719050413484</v>
      </c>
    </row>
    <row r="26" spans="1:15" s="217" customFormat="1" ht="21.95" customHeight="1">
      <c r="A26" s="244" t="s">
        <v>48</v>
      </c>
      <c r="B26" s="245" t="s">
        <v>49</v>
      </c>
      <c r="C26" s="246"/>
      <c r="D26" s="247"/>
      <c r="E26" s="282"/>
      <c r="F26" s="283"/>
      <c r="G26" s="283"/>
      <c r="H26" s="283"/>
      <c r="I26" s="283"/>
      <c r="J26" s="268"/>
    </row>
    <row r="27" spans="1:15" ht="27.75" customHeight="1">
      <c r="A27" s="237" t="s">
        <v>50</v>
      </c>
      <c r="B27" s="248" t="s">
        <v>51</v>
      </c>
      <c r="C27" s="239">
        <v>4011276</v>
      </c>
      <c r="D27" s="242" t="s">
        <v>52</v>
      </c>
      <c r="E27" s="249" t="s">
        <v>53</v>
      </c>
      <c r="F27" s="241">
        <f>'Memória de cálculo'!E13</f>
        <v>255</v>
      </c>
      <c r="G27" s="183">
        <v>143.02000000000001</v>
      </c>
      <c r="H27" s="183">
        <f>ROUND(G27*(1+$D$7),2)</f>
        <v>175.36</v>
      </c>
      <c r="I27" s="256">
        <f t="shared" ref="I27:I35" si="6">ROUND(F27*H27,2)</f>
        <v>44716.800000000003</v>
      </c>
      <c r="J27" s="256">
        <f t="shared" ref="J27:J35" si="7">ROUND(I27*(1+$J$9),2)</f>
        <v>45436.74</v>
      </c>
      <c r="K27" s="218">
        <v>0.5</v>
      </c>
      <c r="L27" s="218">
        <f t="shared" ref="L27" si="8">$I27*K27</f>
        <v>22358.400000000001</v>
      </c>
      <c r="M27" s="218">
        <v>0.5</v>
      </c>
      <c r="N27" s="218">
        <f t="shared" ref="N27" si="9">$I27*M27</f>
        <v>22358.400000000001</v>
      </c>
    </row>
    <row r="28" spans="1:15" ht="27.75" customHeight="1">
      <c r="A28" s="237" t="s">
        <v>54</v>
      </c>
      <c r="B28" s="248" t="s">
        <v>40</v>
      </c>
      <c r="C28" s="239">
        <v>93591</v>
      </c>
      <c r="D28" s="242" t="s">
        <v>55</v>
      </c>
      <c r="E28" s="249" t="s">
        <v>56</v>
      </c>
      <c r="F28" s="241">
        <f>'Memória de cálculo'!E14</f>
        <v>546.98</v>
      </c>
      <c r="G28" s="183">
        <v>2.1</v>
      </c>
      <c r="H28" s="183">
        <f t="shared" ref="H28" si="10">ROUND(G28*(1+$D$7),2)</f>
        <v>2.57</v>
      </c>
      <c r="I28" s="256">
        <f t="shared" si="6"/>
        <v>1405.74</v>
      </c>
      <c r="J28" s="256">
        <f t="shared" si="7"/>
        <v>1428.37</v>
      </c>
      <c r="K28" s="218">
        <v>0.5</v>
      </c>
      <c r="L28" s="218">
        <f t="shared" ref="L28:L29" si="11">$I28*K28</f>
        <v>702.87</v>
      </c>
      <c r="M28" s="218">
        <v>0.5</v>
      </c>
      <c r="N28" s="218">
        <f t="shared" ref="N28:N29" si="12">$I28*M28</f>
        <v>702.87</v>
      </c>
    </row>
    <row r="29" spans="1:15" ht="25.5">
      <c r="A29" s="237" t="s">
        <v>57</v>
      </c>
      <c r="B29" s="238" t="s">
        <v>40</v>
      </c>
      <c r="C29" s="239">
        <v>93358</v>
      </c>
      <c r="D29" s="181" t="s">
        <v>58</v>
      </c>
      <c r="E29" s="179" t="s">
        <v>53</v>
      </c>
      <c r="F29" s="241">
        <f>'Memória de cálculo'!E15</f>
        <v>33.75</v>
      </c>
      <c r="G29" s="183">
        <v>74.33</v>
      </c>
      <c r="H29" s="183">
        <f t="shared" ref="H29:H35" si="13">ROUND(G29*(1+$D$7),2)</f>
        <v>91.14</v>
      </c>
      <c r="I29" s="256">
        <f t="shared" si="6"/>
        <v>3075.98</v>
      </c>
      <c r="J29" s="256">
        <f t="shared" si="7"/>
        <v>3125.5</v>
      </c>
      <c r="K29" s="218">
        <v>1</v>
      </c>
      <c r="L29" s="218">
        <f t="shared" si="11"/>
        <v>3075.98</v>
      </c>
      <c r="M29" s="218">
        <v>0</v>
      </c>
      <c r="N29" s="218">
        <f t="shared" si="12"/>
        <v>0</v>
      </c>
    </row>
    <row r="30" spans="1:15" ht="25.5">
      <c r="A30" s="237" t="s">
        <v>59</v>
      </c>
      <c r="B30" s="238" t="s">
        <v>40</v>
      </c>
      <c r="C30" s="239">
        <v>95240</v>
      </c>
      <c r="D30" s="181" t="s">
        <v>60</v>
      </c>
      <c r="E30" s="179" t="s">
        <v>29</v>
      </c>
      <c r="F30" s="241">
        <f>'Memória de cálculo'!E16</f>
        <v>225</v>
      </c>
      <c r="G30" s="183">
        <v>17.43</v>
      </c>
      <c r="H30" s="183">
        <f t="shared" si="13"/>
        <v>21.37</v>
      </c>
      <c r="I30" s="256">
        <f t="shared" si="6"/>
        <v>4808.25</v>
      </c>
      <c r="J30" s="256">
        <f t="shared" si="7"/>
        <v>4885.66</v>
      </c>
      <c r="K30" s="218">
        <v>1</v>
      </c>
      <c r="L30" s="218">
        <f t="shared" ref="L30:N33" si="14">$I30*K30</f>
        <v>4808.25</v>
      </c>
      <c r="M30" s="218">
        <v>0</v>
      </c>
      <c r="N30" s="218">
        <f t="shared" si="14"/>
        <v>0</v>
      </c>
    </row>
    <row r="31" spans="1:15" ht="38.25">
      <c r="A31" s="237" t="s">
        <v>61</v>
      </c>
      <c r="B31" s="238" t="s">
        <v>40</v>
      </c>
      <c r="C31" s="239">
        <v>94277</v>
      </c>
      <c r="D31" s="242" t="s">
        <v>62</v>
      </c>
      <c r="E31" s="179" t="s">
        <v>63</v>
      </c>
      <c r="F31" s="241">
        <f>'Memória de cálculo'!E17</f>
        <v>1500</v>
      </c>
      <c r="G31" s="183">
        <v>34.29</v>
      </c>
      <c r="H31" s="183">
        <f t="shared" si="13"/>
        <v>42.04</v>
      </c>
      <c r="I31" s="256">
        <f t="shared" si="6"/>
        <v>63060</v>
      </c>
      <c r="J31" s="256">
        <f t="shared" si="7"/>
        <v>64075.27</v>
      </c>
      <c r="K31" s="218">
        <v>0.5</v>
      </c>
      <c r="L31" s="218">
        <f t="shared" si="14"/>
        <v>31530</v>
      </c>
      <c r="M31" s="218">
        <v>0.5</v>
      </c>
      <c r="N31" s="218">
        <f t="shared" si="14"/>
        <v>31530</v>
      </c>
    </row>
    <row r="32" spans="1:15" ht="27" customHeight="1">
      <c r="A32" s="237" t="s">
        <v>64</v>
      </c>
      <c r="B32" s="238" t="s">
        <v>40</v>
      </c>
      <c r="C32" s="239">
        <v>96995</v>
      </c>
      <c r="D32" s="181" t="s">
        <v>65</v>
      </c>
      <c r="E32" s="179" t="s">
        <v>66</v>
      </c>
      <c r="F32" s="241">
        <f>'Memória de cálculo'!E18</f>
        <v>13.349999999999998</v>
      </c>
      <c r="G32" s="183">
        <v>45.06</v>
      </c>
      <c r="H32" s="183">
        <f t="shared" si="13"/>
        <v>55.25</v>
      </c>
      <c r="I32" s="256">
        <f t="shared" si="6"/>
        <v>737.59</v>
      </c>
      <c r="J32" s="256">
        <f t="shared" si="7"/>
        <v>749.47</v>
      </c>
    </row>
    <row r="33" spans="1:15" ht="27.75" customHeight="1">
      <c r="A33" s="237" t="s">
        <v>67</v>
      </c>
      <c r="B33" s="248" t="s">
        <v>51</v>
      </c>
      <c r="C33" s="239">
        <v>2003373</v>
      </c>
      <c r="D33" s="242" t="s">
        <v>68</v>
      </c>
      <c r="E33" s="249" t="s">
        <v>63</v>
      </c>
      <c r="F33" s="241">
        <f>'Memória de cálculo'!E19</f>
        <v>1500</v>
      </c>
      <c r="G33" s="183">
        <v>25.3</v>
      </c>
      <c r="H33" s="183">
        <f t="shared" si="13"/>
        <v>31.02</v>
      </c>
      <c r="I33" s="256">
        <f t="shared" si="6"/>
        <v>46530</v>
      </c>
      <c r="J33" s="256">
        <f t="shared" si="7"/>
        <v>47279.13</v>
      </c>
      <c r="K33" s="218">
        <v>0.5</v>
      </c>
      <c r="L33" s="218">
        <f t="shared" si="14"/>
        <v>23265</v>
      </c>
      <c r="M33" s="218">
        <v>0.5</v>
      </c>
      <c r="N33" s="218">
        <f t="shared" si="14"/>
        <v>23265</v>
      </c>
    </row>
    <row r="34" spans="1:15" ht="27.75" customHeight="1">
      <c r="A34" s="237" t="s">
        <v>69</v>
      </c>
      <c r="B34" s="248" t="s">
        <v>40</v>
      </c>
      <c r="C34" s="239">
        <v>102498</v>
      </c>
      <c r="D34" s="242" t="s">
        <v>70</v>
      </c>
      <c r="E34" s="249" t="s">
        <v>63</v>
      </c>
      <c r="F34" s="241">
        <f>'Memória de cálculo'!E20</f>
        <v>3000</v>
      </c>
      <c r="G34" s="183">
        <v>1.52</v>
      </c>
      <c r="H34" s="183">
        <f t="shared" ref="H34" si="15">ROUND(G34*(1+$D$7),2)</f>
        <v>1.86</v>
      </c>
      <c r="I34" s="256">
        <f t="shared" si="6"/>
        <v>5580</v>
      </c>
      <c r="J34" s="256">
        <f t="shared" si="7"/>
        <v>5669.84</v>
      </c>
      <c r="K34" s="218">
        <v>0.5</v>
      </c>
      <c r="L34" s="218">
        <f t="shared" ref="L34:L35" si="16">$I34*K34</f>
        <v>2790</v>
      </c>
      <c r="M34" s="218">
        <v>0.5</v>
      </c>
      <c r="N34" s="218">
        <f t="shared" ref="N34:N35" si="17">$I34*M34</f>
        <v>2790</v>
      </c>
    </row>
    <row r="35" spans="1:15" ht="27.75" customHeight="1">
      <c r="A35" s="237" t="s">
        <v>71</v>
      </c>
      <c r="B35" s="238" t="s">
        <v>18</v>
      </c>
      <c r="C35" s="239" t="s">
        <v>72</v>
      </c>
      <c r="D35" s="181" t="s">
        <v>73</v>
      </c>
      <c r="E35" s="179" t="s">
        <v>29</v>
      </c>
      <c r="F35" s="241">
        <f>'Memória de cálculo'!E21</f>
        <v>2550</v>
      </c>
      <c r="G35" s="183">
        <f>'CPU 02'!H24</f>
        <v>73.59075399999999</v>
      </c>
      <c r="H35" s="183">
        <f t="shared" si="13"/>
        <v>90.23</v>
      </c>
      <c r="I35" s="256">
        <f t="shared" si="6"/>
        <v>230086.5</v>
      </c>
      <c r="J35" s="256">
        <f t="shared" si="7"/>
        <v>233790.89</v>
      </c>
      <c r="K35" s="218">
        <v>0.2</v>
      </c>
      <c r="L35" s="218">
        <f t="shared" si="16"/>
        <v>46017.3</v>
      </c>
      <c r="M35" s="218">
        <v>0.3</v>
      </c>
      <c r="N35" s="218">
        <f t="shared" si="17"/>
        <v>69025.95</v>
      </c>
    </row>
    <row r="36" spans="1:15" ht="21.95" customHeight="1">
      <c r="A36" s="276"/>
      <c r="B36" s="277"/>
      <c r="C36" s="278"/>
      <c r="D36" s="278"/>
      <c r="E36" s="279" t="s">
        <v>74</v>
      </c>
      <c r="F36" s="279"/>
      <c r="G36" s="279"/>
      <c r="H36" s="279"/>
      <c r="I36" s="260">
        <f>SUM(I27:I35)</f>
        <v>400000.86</v>
      </c>
      <c r="J36" s="260">
        <f>SUM(J27:J35)</f>
        <v>406440.87</v>
      </c>
      <c r="L36" s="218">
        <f>SUM(L29:L35)</f>
        <v>111486.53</v>
      </c>
      <c r="N36" s="218">
        <f>SUM(N29:N35)</f>
        <v>126610.95</v>
      </c>
    </row>
    <row r="37" spans="1:15" s="217" customFormat="1" ht="21.95" customHeight="1">
      <c r="A37" s="244" t="s">
        <v>75</v>
      </c>
      <c r="B37" s="245" t="s">
        <v>76</v>
      </c>
      <c r="C37" s="246"/>
      <c r="D37" s="247"/>
      <c r="E37" s="282"/>
      <c r="F37" s="283"/>
      <c r="G37" s="283"/>
      <c r="H37" s="283"/>
      <c r="I37" s="284"/>
      <c r="J37" s="266"/>
      <c r="L37" s="217">
        <f>L36/I36</f>
        <v>0.27871572576118964</v>
      </c>
      <c r="N37" s="217">
        <f>N36/I36</f>
        <v>0.31652669446760689</v>
      </c>
      <c r="O37" s="217">
        <f>1-N37-L37</f>
        <v>0.40475757977120352</v>
      </c>
    </row>
    <row r="38" spans="1:15" ht="27.75" customHeight="1">
      <c r="A38" s="237" t="s">
        <v>77</v>
      </c>
      <c r="B38" s="238" t="s">
        <v>18</v>
      </c>
      <c r="C38" s="239" t="s">
        <v>78</v>
      </c>
      <c r="D38" s="181" t="s">
        <v>79</v>
      </c>
      <c r="E38" s="179" t="s">
        <v>53</v>
      </c>
      <c r="F38" s="241">
        <f>'Memória de cálculo'!E23</f>
        <v>11.200000000000001</v>
      </c>
      <c r="G38" s="183">
        <f>'CPU 02'!H36</f>
        <v>630.94209999999998</v>
      </c>
      <c r="H38" s="183">
        <f t="shared" ref="H38" si="18">ROUND(G38*(1+$D$7),2)</f>
        <v>773.6</v>
      </c>
      <c r="I38" s="256">
        <f>ROUND(F38*H38,2)</f>
        <v>8664.32</v>
      </c>
      <c r="J38" s="256">
        <f t="shared" ref="J38" si="19">ROUND(I38*(1+$J$9),2)</f>
        <v>8803.82</v>
      </c>
      <c r="K38" s="218">
        <v>1</v>
      </c>
      <c r="L38" s="218">
        <f t="shared" ref="L38:N38" si="20">$I38*K38</f>
        <v>8664.32</v>
      </c>
      <c r="M38" s="218">
        <v>0</v>
      </c>
      <c r="N38" s="218">
        <f t="shared" si="20"/>
        <v>0</v>
      </c>
    </row>
    <row r="39" spans="1:15" ht="21.95" customHeight="1">
      <c r="A39" s="276"/>
      <c r="B39" s="277"/>
      <c r="C39" s="278"/>
      <c r="D39" s="278"/>
      <c r="E39" s="279" t="s">
        <v>80</v>
      </c>
      <c r="F39" s="279"/>
      <c r="G39" s="279"/>
      <c r="H39" s="279"/>
      <c r="I39" s="260">
        <f>SUM(I38:I38)</f>
        <v>8664.32</v>
      </c>
      <c r="J39" s="260">
        <f>SUM(J38:J38)</f>
        <v>8803.82</v>
      </c>
      <c r="L39" s="218">
        <f>SUM(L38:L38)</f>
        <v>8664.32</v>
      </c>
      <c r="N39" s="218">
        <f>SUM(N38:N38)</f>
        <v>0</v>
      </c>
    </row>
    <row r="40" spans="1:15" ht="21.95" customHeight="1">
      <c r="A40" s="276"/>
      <c r="B40" s="277"/>
      <c r="C40" s="278"/>
      <c r="D40" s="278"/>
      <c r="E40" s="279" t="s">
        <v>81</v>
      </c>
      <c r="F40" s="279"/>
      <c r="G40" s="279"/>
      <c r="H40" s="279"/>
      <c r="I40" s="258">
        <f>I36+I39</f>
        <v>408665.18</v>
      </c>
      <c r="J40" s="258">
        <f>J36+J39</f>
        <v>415244.69</v>
      </c>
      <c r="L40" s="217">
        <f>L39/I39</f>
        <v>1</v>
      </c>
      <c r="N40" s="217">
        <f>N39/I39</f>
        <v>0</v>
      </c>
    </row>
    <row r="41" spans="1:15" s="216" customFormat="1" ht="20.100000000000001" customHeight="1">
      <c r="A41" s="233">
        <v>4</v>
      </c>
      <c r="C41" s="234"/>
      <c r="D41" s="235" t="s">
        <v>82</v>
      </c>
      <c r="E41" s="280"/>
      <c r="F41" s="280"/>
      <c r="G41" s="280"/>
      <c r="H41" s="280"/>
      <c r="I41" s="281"/>
      <c r="J41" s="265"/>
    </row>
    <row r="42" spans="1:15" ht="25.5">
      <c r="A42" s="237" t="s">
        <v>83</v>
      </c>
      <c r="B42" s="238" t="s">
        <v>34</v>
      </c>
      <c r="C42" s="239">
        <v>11688</v>
      </c>
      <c r="D42" s="250" t="s">
        <v>84</v>
      </c>
      <c r="E42" s="179" t="s">
        <v>29</v>
      </c>
      <c r="F42" s="241">
        <f>'Memória de cálculo'!E25</f>
        <v>612</v>
      </c>
      <c r="G42" s="183">
        <v>27.12</v>
      </c>
      <c r="H42" s="183">
        <f>ROUND(G42*(1+$D$7),2)</f>
        <v>33.25</v>
      </c>
      <c r="I42" s="256">
        <f>ROUND(F42*H42,2)</f>
        <v>20349</v>
      </c>
      <c r="J42" s="256">
        <f t="shared" ref="J42:J43" si="21">ROUND(I42*(1+$J$9),2)</f>
        <v>20676.62</v>
      </c>
      <c r="L42" s="218" t="str">
        <f>LOWER(D42)</f>
        <v>sinalização horizontal rodoviária, com tinta retrorrefletiva à base de resina acrílica com microesferas de vidro</v>
      </c>
    </row>
    <row r="43" spans="1:15" ht="51">
      <c r="A43" s="237" t="s">
        <v>85</v>
      </c>
      <c r="B43" s="238" t="s">
        <v>34</v>
      </c>
      <c r="C43" s="239">
        <v>4249</v>
      </c>
      <c r="D43" s="181" t="s">
        <v>86</v>
      </c>
      <c r="E43" s="179" t="s">
        <v>24</v>
      </c>
      <c r="F43" s="241">
        <f>'Memória de cálculo'!E26</f>
        <v>20</v>
      </c>
      <c r="G43" s="183">
        <v>125</v>
      </c>
      <c r="H43" s="183">
        <f>ROUND(G43*(1+$D$7),2)</f>
        <v>153.26</v>
      </c>
      <c r="I43" s="256">
        <f>ROUND(F43*H43,2)</f>
        <v>3065.2</v>
      </c>
      <c r="J43" s="256">
        <f t="shared" si="21"/>
        <v>3114.55</v>
      </c>
    </row>
    <row r="44" spans="1:15" ht="21.95" customHeight="1">
      <c r="A44" s="276"/>
      <c r="B44" s="277"/>
      <c r="C44" s="278"/>
      <c r="D44" s="278"/>
      <c r="E44" s="279" t="s">
        <v>87</v>
      </c>
      <c r="F44" s="279"/>
      <c r="G44" s="279"/>
      <c r="H44" s="279"/>
      <c r="I44" s="258">
        <f>SUM(I42:I43)</f>
        <v>23414.2</v>
      </c>
      <c r="J44" s="258">
        <f>SUM(J42:J43)</f>
        <v>23791.17</v>
      </c>
    </row>
    <row r="45" spans="1:15">
      <c r="A45" s="251"/>
      <c r="B45" s="252"/>
      <c r="C45" s="252"/>
      <c r="D45" s="252"/>
      <c r="E45" s="253"/>
      <c r="F45" s="253"/>
      <c r="G45" s="253"/>
      <c r="H45" s="253"/>
      <c r="I45" s="261"/>
      <c r="J45" s="261"/>
    </row>
    <row r="46" spans="1:15" ht="30.75" customHeight="1" thickBot="1">
      <c r="A46" s="271"/>
      <c r="B46" s="272"/>
      <c r="C46" s="272"/>
      <c r="D46" s="273"/>
      <c r="E46" s="274" t="s">
        <v>88</v>
      </c>
      <c r="F46" s="274"/>
      <c r="G46" s="274"/>
      <c r="H46" s="274"/>
      <c r="I46" s="262">
        <f>SUM(I20+I24+I40+I44)</f>
        <v>492076.41000000003</v>
      </c>
      <c r="J46" s="262">
        <f>SUM(J20+J24+J40+J44)</f>
        <v>499998.85</v>
      </c>
    </row>
    <row r="51" spans="11:11">
      <c r="K51" s="218" t="s">
        <v>89</v>
      </c>
    </row>
  </sheetData>
  <mergeCells count="29">
    <mergeCell ref="D1:I1"/>
    <mergeCell ref="D2:I2"/>
    <mergeCell ref="D3:I3"/>
    <mergeCell ref="A5:I5"/>
    <mergeCell ref="A7:C7"/>
    <mergeCell ref="E7:F7"/>
    <mergeCell ref="E25:I25"/>
    <mergeCell ref="E26:I26"/>
    <mergeCell ref="B8:D8"/>
    <mergeCell ref="A9:I9"/>
    <mergeCell ref="E11:I11"/>
    <mergeCell ref="A20:D20"/>
    <mergeCell ref="E20:H20"/>
    <mergeCell ref="A46:D46"/>
    <mergeCell ref="E46:H46"/>
    <mergeCell ref="J1:J8"/>
    <mergeCell ref="A40:D40"/>
    <mergeCell ref="E40:H40"/>
    <mergeCell ref="E41:I41"/>
    <mergeCell ref="A44:D44"/>
    <mergeCell ref="E44:H44"/>
    <mergeCell ref="A36:D36"/>
    <mergeCell ref="E36:H36"/>
    <mergeCell ref="E37:I37"/>
    <mergeCell ref="A39:D39"/>
    <mergeCell ref="E39:H39"/>
    <mergeCell ref="E21:I21"/>
    <mergeCell ref="A24:D24"/>
    <mergeCell ref="E24:H24"/>
  </mergeCells>
  <pageMargins left="0.98425196850393704" right="0.59055118110236204" top="0.78740157480314998" bottom="0.78740157480314998" header="0.511811023622047" footer="0.59055118110236204"/>
  <pageSetup paperSize="9" scale="4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view="pageBreakPreview" zoomScaleSheetLayoutView="100" workbookViewId="0">
      <selection activeCell="E25" sqref="E25"/>
    </sheetView>
  </sheetViews>
  <sheetFormatPr defaultColWidth="9" defaultRowHeight="12.75"/>
  <cols>
    <col min="2" max="2" width="52.42578125" customWidth="1"/>
    <col min="3" max="3" width="22.28515625" customWidth="1"/>
    <col min="4" max="7" width="18.7109375" customWidth="1"/>
    <col min="8" max="8" width="11.28515625" customWidth="1"/>
  </cols>
  <sheetData>
    <row r="1" spans="1:8" s="132" customFormat="1" ht="15.75" customHeight="1">
      <c r="A1" s="168"/>
      <c r="B1" s="297" t="s">
        <v>90</v>
      </c>
      <c r="C1" s="297"/>
      <c r="D1" s="297"/>
      <c r="E1" s="297"/>
      <c r="F1" s="297"/>
      <c r="G1" s="297"/>
    </row>
    <row r="2" spans="1:8" s="132" customFormat="1" ht="15.75" customHeight="1">
      <c r="A2" s="185"/>
      <c r="B2" s="297" t="s">
        <v>91</v>
      </c>
      <c r="C2" s="297"/>
      <c r="D2" s="297"/>
      <c r="E2" s="297"/>
      <c r="F2" s="297"/>
      <c r="G2" s="297"/>
    </row>
    <row r="3" spans="1:8" s="132" customFormat="1" ht="15.75" customHeight="1">
      <c r="A3" s="185"/>
      <c r="B3" s="297" t="s">
        <v>92</v>
      </c>
      <c r="C3" s="297"/>
      <c r="D3" s="297"/>
      <c r="E3" s="297"/>
      <c r="F3" s="297"/>
      <c r="G3" s="297"/>
    </row>
    <row r="4" spans="1:8">
      <c r="A4" s="80"/>
      <c r="B4" s="81"/>
      <c r="C4" s="186"/>
      <c r="D4" s="186"/>
      <c r="E4" s="81"/>
      <c r="F4" s="81"/>
      <c r="G4" s="81"/>
    </row>
    <row r="5" spans="1:8" s="133" customFormat="1" ht="39.75" customHeight="1">
      <c r="A5" s="298" t="str">
        <f>'Planilha - CICLOVIA'!A5:I5</f>
        <v>EXECUÇÃO DE OBRAS/SERVIÇOS OBJETIVANDO A IMPLANTAÇÃO DE CICLOVIA EM TRECHO DA RODOVIA BA 800, QUE LIGA IRECÊ AO DISTRITO DE MEIA-HORA, NO MUNICÍPIO DE IRECÊ/BA, NA ÁREA DE ATUAÇÃO DA 2ª SUPERINTENDÊNCIA REGIONAL DA CODEVASF, NO ESTADO DA BAHIA</v>
      </c>
      <c r="B5" s="299"/>
      <c r="C5" s="299"/>
      <c r="D5" s="299"/>
      <c r="E5" s="299"/>
      <c r="F5" s="299"/>
      <c r="G5" s="299"/>
    </row>
    <row r="6" spans="1:8" ht="15">
      <c r="A6" s="187"/>
      <c r="B6" s="188"/>
      <c r="C6" s="189"/>
      <c r="D6" s="189"/>
      <c r="E6" s="190"/>
      <c r="F6" s="81"/>
      <c r="G6" s="81"/>
    </row>
    <row r="7" spans="1:8" ht="20.25">
      <c r="A7" s="300" t="s">
        <v>93</v>
      </c>
      <c r="B7" s="301"/>
      <c r="C7" s="301"/>
      <c r="D7" s="301"/>
      <c r="E7" s="301"/>
      <c r="F7" s="301"/>
      <c r="G7" s="301"/>
    </row>
    <row r="8" spans="1:8">
      <c r="A8" s="129"/>
      <c r="B8" s="130"/>
      <c r="C8" s="191"/>
      <c r="D8" s="191"/>
      <c r="E8" s="130"/>
      <c r="F8" s="130"/>
      <c r="G8" s="130"/>
    </row>
    <row r="9" spans="1:8" ht="12.75" customHeight="1">
      <c r="A9" s="296" t="s">
        <v>94</v>
      </c>
      <c r="B9" s="296" t="s">
        <v>95</v>
      </c>
      <c r="C9" s="296" t="s">
        <v>96</v>
      </c>
      <c r="D9" s="296" t="s">
        <v>97</v>
      </c>
      <c r="E9" s="296" t="s">
        <v>98</v>
      </c>
      <c r="F9" s="296" t="s">
        <v>99</v>
      </c>
      <c r="G9" s="296" t="s">
        <v>100</v>
      </c>
    </row>
    <row r="10" spans="1:8" ht="12.75" customHeight="1">
      <c r="A10" s="296"/>
      <c r="B10" s="296"/>
      <c r="C10" s="296"/>
      <c r="D10" s="296"/>
      <c r="E10" s="296"/>
      <c r="F10" s="296"/>
      <c r="G10" s="296"/>
    </row>
    <row r="11" spans="1:8" ht="15.75">
      <c r="A11" s="192">
        <f>'Planilha - CICLOVIA'!A11</f>
        <v>1</v>
      </c>
      <c r="B11" s="192" t="str">
        <f>'Planilha - CICLOVIA'!D11</f>
        <v>SERVIÇOS PRELIMINARES</v>
      </c>
      <c r="C11" s="193">
        <f>'Planilha - CICLOVIA'!J20</f>
        <v>52412.510000000009</v>
      </c>
      <c r="D11" s="194">
        <f>C11*0.37</f>
        <v>19392.628700000005</v>
      </c>
      <c r="E11" s="194">
        <f>C11*0.21</f>
        <v>11006.627100000002</v>
      </c>
      <c r="F11" s="194">
        <f>C11*0.21</f>
        <v>11006.627100000002</v>
      </c>
      <c r="G11" s="194">
        <f>C11*0.21</f>
        <v>11006.627100000002</v>
      </c>
      <c r="H11" s="195">
        <f>SUM(D11:G11)</f>
        <v>52412.510000000009</v>
      </c>
    </row>
    <row r="12" spans="1:8" ht="15.75">
      <c r="A12" s="192"/>
      <c r="B12" s="196"/>
      <c r="C12" s="197"/>
      <c r="D12" s="198">
        <f>D11/$C$11</f>
        <v>0.37000000000000005</v>
      </c>
      <c r="E12" s="198">
        <f t="shared" ref="E12:G12" si="0">E11/$C$11</f>
        <v>0.21</v>
      </c>
      <c r="F12" s="198">
        <f t="shared" si="0"/>
        <v>0.21</v>
      </c>
      <c r="G12" s="198">
        <f t="shared" si="0"/>
        <v>0.21</v>
      </c>
    </row>
    <row r="13" spans="1:8" ht="15.75">
      <c r="A13" s="192">
        <f>'Planilha - CICLOVIA'!A21</f>
        <v>2</v>
      </c>
      <c r="B13" s="192" t="str">
        <f>'Planilha - CICLOVIA'!D21</f>
        <v>TERRAPLENAGEM</v>
      </c>
      <c r="C13" s="193">
        <f>'Planilha - CICLOVIA'!J24</f>
        <v>8550.48</v>
      </c>
      <c r="D13" s="194">
        <f>C13*1</f>
        <v>8550.48</v>
      </c>
      <c r="E13" s="199"/>
      <c r="F13" s="125"/>
      <c r="G13" s="125"/>
      <c r="H13" s="195">
        <f>SUM(D13:G13)</f>
        <v>8550.48</v>
      </c>
    </row>
    <row r="14" spans="1:8" ht="15.75">
      <c r="A14" s="192"/>
      <c r="B14" s="196"/>
      <c r="C14" s="193"/>
      <c r="D14" s="198">
        <f>D13/$C$13</f>
        <v>1</v>
      </c>
      <c r="E14" s="198">
        <f t="shared" ref="E14:G14" si="1">E13/$C$13</f>
        <v>0</v>
      </c>
      <c r="F14" s="198">
        <f t="shared" si="1"/>
        <v>0</v>
      </c>
      <c r="G14" s="198">
        <f t="shared" si="1"/>
        <v>0</v>
      </c>
    </row>
    <row r="15" spans="1:8" ht="15.75">
      <c r="A15" s="192">
        <f>'Planilha - CICLOVIA'!A25</f>
        <v>3</v>
      </c>
      <c r="B15" s="192" t="str">
        <f>'Planilha - CICLOVIA'!D25</f>
        <v xml:space="preserve"> PAVIMENTAÇÃO E GUIAS</v>
      </c>
      <c r="C15" s="193">
        <f>'Planilha - CICLOVIA'!J40</f>
        <v>415244.69</v>
      </c>
      <c r="D15" s="194">
        <f>D17+D19</f>
        <v>81288.173999999999</v>
      </c>
      <c r="E15" s="194">
        <f t="shared" ref="E15:G15" si="2">E17+E19</f>
        <v>125453.789</v>
      </c>
      <c r="F15" s="194">
        <f t="shared" ref="F15" si="3">F17+F19</f>
        <v>125453.789</v>
      </c>
      <c r="G15" s="194">
        <f t="shared" si="2"/>
        <v>83048.937999999995</v>
      </c>
      <c r="H15" s="195">
        <f>SUM(D15:G15)</f>
        <v>415244.68999999994</v>
      </c>
    </row>
    <row r="16" spans="1:8" ht="15.75">
      <c r="A16" s="192"/>
      <c r="B16" s="196"/>
      <c r="C16" s="200"/>
      <c r="D16" s="198">
        <f>D15/$C$15</f>
        <v>0.19575969532566448</v>
      </c>
      <c r="E16" s="198">
        <f t="shared" ref="E16:G16" si="4">E15/$C$15</f>
        <v>0.30212015233716777</v>
      </c>
      <c r="F16" s="198">
        <f t="shared" si="4"/>
        <v>0.30212015233716777</v>
      </c>
      <c r="G16" s="198">
        <f t="shared" si="4"/>
        <v>0.19999999999999998</v>
      </c>
    </row>
    <row r="17" spans="1:8" ht="15.75">
      <c r="A17" s="192" t="str">
        <f>'Planilha - CICLOVIA'!A26</f>
        <v>3.1</v>
      </c>
      <c r="B17" s="196" t="str">
        <f>'Planilha - CICLOVIA'!B26</f>
        <v>Intertravado</v>
      </c>
      <c r="C17" s="193">
        <f>'Planilha - CICLOVIA'!J36</f>
        <v>406440.87</v>
      </c>
      <c r="D17" s="194">
        <f>C17*0.2</f>
        <v>81288.173999999999</v>
      </c>
      <c r="E17" s="194">
        <f>C17*0.3</f>
        <v>121932.261</v>
      </c>
      <c r="F17" s="201">
        <f>C17*0.3</f>
        <v>121932.261</v>
      </c>
      <c r="G17" s="201">
        <f>C17*0.2</f>
        <v>81288.173999999999</v>
      </c>
      <c r="H17" s="195">
        <f>SUM(D17:G17)</f>
        <v>406440.87</v>
      </c>
    </row>
    <row r="18" spans="1:8" ht="15.75">
      <c r="A18" s="202"/>
      <c r="B18" s="202"/>
      <c r="C18" s="200"/>
      <c r="D18" s="198">
        <f>D17/$C$17</f>
        <v>0.2</v>
      </c>
      <c r="E18" s="198">
        <f t="shared" ref="E18:G18" si="5">E17/$C$17</f>
        <v>0.3</v>
      </c>
      <c r="F18" s="198">
        <f t="shared" si="5"/>
        <v>0.3</v>
      </c>
      <c r="G18" s="198">
        <f t="shared" si="5"/>
        <v>0.2</v>
      </c>
    </row>
    <row r="19" spans="1:8" ht="15.75">
      <c r="A19" s="192" t="str">
        <f>'Planilha - CICLOVIA'!A37</f>
        <v>3.2</v>
      </c>
      <c r="B19" s="196" t="str">
        <f>'Planilha - CICLOVIA'!B37</f>
        <v>Acessibilidade</v>
      </c>
      <c r="C19" s="193">
        <f>'Planilha - CICLOVIA'!J39</f>
        <v>8803.82</v>
      </c>
      <c r="D19" s="194">
        <f>C19*0</f>
        <v>0</v>
      </c>
      <c r="E19" s="194">
        <f>C19*0.4</f>
        <v>3521.5280000000002</v>
      </c>
      <c r="F19" s="201">
        <f>C19*0.4</f>
        <v>3521.5280000000002</v>
      </c>
      <c r="G19" s="201">
        <f>C19*0.2</f>
        <v>1760.7640000000001</v>
      </c>
      <c r="H19" s="195">
        <f>SUM(D19:G19)</f>
        <v>8803.82</v>
      </c>
    </row>
    <row r="20" spans="1:8" ht="15.75">
      <c r="A20" s="202"/>
      <c r="B20" s="202"/>
      <c r="C20" s="203"/>
      <c r="D20" s="198">
        <f>D19/$C$19</f>
        <v>0</v>
      </c>
      <c r="E20" s="198">
        <f t="shared" ref="E20:G20" si="6">E19/$C$19</f>
        <v>0.4</v>
      </c>
      <c r="F20" s="198">
        <f t="shared" si="6"/>
        <v>0.4</v>
      </c>
      <c r="G20" s="198">
        <f t="shared" si="6"/>
        <v>0.2</v>
      </c>
    </row>
    <row r="21" spans="1:8" ht="15.75">
      <c r="A21" s="192">
        <f>'Planilha - CICLOVIA'!A41</f>
        <v>4</v>
      </c>
      <c r="B21" s="192" t="str">
        <f>'Planilha - CICLOVIA'!D41</f>
        <v>SINALIZAÇÃO</v>
      </c>
      <c r="C21" s="193">
        <f>'Planilha - CICLOVIA'!J44</f>
        <v>23791.17</v>
      </c>
      <c r="D21" s="194">
        <f>C21*0</f>
        <v>0</v>
      </c>
      <c r="E21" s="194">
        <f>C21*0.1</f>
        <v>2379.1169999999997</v>
      </c>
      <c r="F21" s="194">
        <f>C21*0.3</f>
        <v>7137.3509999999997</v>
      </c>
      <c r="G21" s="194">
        <f>C21*0.6</f>
        <v>14274.701999999999</v>
      </c>
      <c r="H21" s="195">
        <f>SUM(D21:G21)</f>
        <v>23791.17</v>
      </c>
    </row>
    <row r="22" spans="1:8" ht="15.75">
      <c r="A22" s="192"/>
      <c r="B22" s="196"/>
      <c r="C22" s="197"/>
      <c r="D22" s="198">
        <f>D21/$C$21</f>
        <v>0</v>
      </c>
      <c r="E22" s="198">
        <f t="shared" ref="E22:G22" si="7">E21/$C$21</f>
        <v>9.9999999999999992E-2</v>
      </c>
      <c r="F22" s="198">
        <f t="shared" si="7"/>
        <v>0.3</v>
      </c>
      <c r="G22" s="198">
        <f t="shared" si="7"/>
        <v>0.6</v>
      </c>
    </row>
    <row r="23" spans="1:8" ht="15.75">
      <c r="A23" s="204"/>
      <c r="B23" s="205" t="s">
        <v>101</v>
      </c>
      <c r="C23" s="206">
        <f>C11+C13+C15+C21</f>
        <v>499998.85</v>
      </c>
      <c r="D23" s="206">
        <f>D11+D13+D15+D21</f>
        <v>109231.28270000001</v>
      </c>
      <c r="E23" s="206">
        <f>E11+E13+E15+E21</f>
        <v>138839.5331</v>
      </c>
      <c r="F23" s="206">
        <f>F11+F13+F15+F21</f>
        <v>143597.7671</v>
      </c>
      <c r="G23" s="206">
        <f>G11+G13+G15+G21</f>
        <v>108330.2671</v>
      </c>
      <c r="H23" s="195">
        <f>SUM(D23:G23)</f>
        <v>499998.85000000003</v>
      </c>
    </row>
    <row r="24" spans="1:8" ht="15.75">
      <c r="A24" s="204"/>
      <c r="B24" s="205"/>
      <c r="C24" s="293"/>
      <c r="D24" s="207"/>
      <c r="E24" s="207"/>
      <c r="F24" s="207"/>
      <c r="G24" s="207"/>
    </row>
    <row r="25" spans="1:8" ht="15.75">
      <c r="A25" s="208"/>
      <c r="B25" s="209" t="s">
        <v>102</v>
      </c>
      <c r="C25" s="294"/>
      <c r="D25" s="198">
        <f>D23/$C$23</f>
        <v>0.21846306786505612</v>
      </c>
      <c r="E25" s="198">
        <f t="shared" ref="E25:G25" si="8">E23/$C$23</f>
        <v>0.27767970486332122</v>
      </c>
      <c r="F25" s="198">
        <f t="shared" si="8"/>
        <v>0.28719619475124791</v>
      </c>
      <c r="G25" s="198">
        <f t="shared" si="8"/>
        <v>0.2166610325203748</v>
      </c>
      <c r="H25" s="210">
        <f>D25+E25+G25</f>
        <v>0.7128038052487522</v>
      </c>
    </row>
    <row r="26" spans="1:8" ht="15.75">
      <c r="A26" s="208"/>
      <c r="B26" s="209" t="s">
        <v>103</v>
      </c>
      <c r="C26" s="294"/>
      <c r="D26" s="211">
        <f>D23</f>
        <v>109231.28270000001</v>
      </c>
      <c r="E26" s="211">
        <f>D26+E23</f>
        <v>248070.81580000001</v>
      </c>
      <c r="F26" s="211">
        <f>F23+D26</f>
        <v>252829.04980000001</v>
      </c>
      <c r="G26" s="211">
        <f>G23+E26</f>
        <v>356401.08290000004</v>
      </c>
    </row>
    <row r="27" spans="1:8" ht="15.75">
      <c r="A27" s="208"/>
      <c r="B27" s="209" t="s">
        <v>104</v>
      </c>
      <c r="C27" s="295"/>
      <c r="D27" s="198">
        <f>D25</f>
        <v>0.21846306786505612</v>
      </c>
      <c r="E27" s="198">
        <f>D27+E25</f>
        <v>0.49614277272837737</v>
      </c>
      <c r="F27" s="198">
        <f>E27+F25</f>
        <v>0.78333896747962528</v>
      </c>
      <c r="G27" s="198">
        <f>F27+G25</f>
        <v>1</v>
      </c>
    </row>
    <row r="28" spans="1:8">
      <c r="A28" s="212"/>
      <c r="B28" s="213"/>
      <c r="C28" s="214"/>
      <c r="D28" s="214"/>
      <c r="E28" s="213"/>
    </row>
    <row r="29" spans="1:8">
      <c r="C29" s="215"/>
      <c r="D29" s="215"/>
    </row>
  </sheetData>
  <mergeCells count="13">
    <mergeCell ref="C24:C27"/>
    <mergeCell ref="D9:D10"/>
    <mergeCell ref="B1:G1"/>
    <mergeCell ref="B2:G2"/>
    <mergeCell ref="B3:G3"/>
    <mergeCell ref="A5:G5"/>
    <mergeCell ref="A7:G7"/>
    <mergeCell ref="E9:E10"/>
    <mergeCell ref="F9:F10"/>
    <mergeCell ref="G9:G10"/>
    <mergeCell ref="A9:A10"/>
    <mergeCell ref="B9:B10"/>
    <mergeCell ref="C9:C10"/>
  </mergeCells>
  <pageMargins left="0.511811023622047" right="0.511811023622047" top="1.49" bottom="0.78740157480314998" header="0.31496062992126" footer="0.31496062992126"/>
  <pageSetup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showGridLines="0" view="pageBreakPreview" zoomScale="106" zoomScaleSheetLayoutView="106" workbookViewId="0">
      <selection activeCell="A27" sqref="A27:E27"/>
    </sheetView>
  </sheetViews>
  <sheetFormatPr defaultColWidth="9.140625" defaultRowHeight="12.75"/>
  <cols>
    <col min="1" max="1" width="9.28515625" style="132" customWidth="1"/>
    <col min="2" max="2" width="54.28515625" style="132" customWidth="1"/>
    <col min="3" max="3" width="7.42578125" style="132" customWidth="1"/>
    <col min="4" max="4" width="40.140625" style="132" customWidth="1"/>
    <col min="5" max="5" width="14.85546875" style="132" customWidth="1"/>
    <col min="6" max="6" width="9.140625" style="132"/>
    <col min="7" max="7" width="15.42578125" style="132" customWidth="1"/>
    <col min="8" max="10" width="9.140625" style="132"/>
    <col min="11" max="11" width="13.28515625" style="132" customWidth="1"/>
    <col min="12" max="16384" width="9.140625" style="132"/>
  </cols>
  <sheetData>
    <row r="1" spans="1:17" ht="18" customHeight="1">
      <c r="A1" s="166"/>
      <c r="B1" s="304" t="s">
        <v>90</v>
      </c>
      <c r="C1" s="304"/>
      <c r="D1" s="304"/>
      <c r="E1" s="305"/>
    </row>
    <row r="2" spans="1:17" ht="18" customHeight="1">
      <c r="A2" s="167"/>
      <c r="B2" s="297" t="s">
        <v>105</v>
      </c>
      <c r="C2" s="297"/>
      <c r="D2" s="297"/>
      <c r="E2" s="306"/>
    </row>
    <row r="3" spans="1:17" ht="18" customHeight="1">
      <c r="A3" s="167"/>
      <c r="B3" s="297" t="s">
        <v>92</v>
      </c>
      <c r="C3" s="297"/>
      <c r="D3" s="297"/>
      <c r="E3" s="306"/>
    </row>
    <row r="4" spans="1:17" ht="12.75" customHeight="1">
      <c r="A4" s="168"/>
      <c r="B4" s="169"/>
      <c r="C4" s="169"/>
      <c r="D4" s="169"/>
      <c r="E4" s="170"/>
    </row>
    <row r="5" spans="1:17" ht="57.75" customHeight="1">
      <c r="A5" s="307" t="str">
        <f>'Planilha - CICLOVIA'!A5:I5</f>
        <v>EXECUÇÃO DE OBRAS/SERVIÇOS OBJETIVANDO A IMPLANTAÇÃO DE CICLOVIA EM TRECHO DA RODOVIA BA 800, QUE LIGA IRECÊ AO DISTRITO DE MEIA-HORA, NO MUNICÍPIO DE IRECÊ/BA, NA ÁREA DE ATUAÇÃO DA 2ª SUPERINTENDÊNCIA REGIONAL DA CODEVASF, NO ESTADO DA BAHIA</v>
      </c>
      <c r="B5" s="308"/>
      <c r="C5" s="308"/>
      <c r="D5" s="308"/>
      <c r="E5" s="309"/>
      <c r="F5" s="171"/>
      <c r="G5" s="132" t="s">
        <v>106</v>
      </c>
      <c r="H5" s="132">
        <v>850</v>
      </c>
      <c r="I5" s="132" t="s">
        <v>63</v>
      </c>
    </row>
    <row r="6" spans="1:17" ht="18">
      <c r="A6" s="172"/>
      <c r="B6" s="173"/>
      <c r="C6" s="174"/>
      <c r="D6" s="174"/>
      <c r="E6" s="175"/>
      <c r="G6" s="132" t="s">
        <v>107</v>
      </c>
      <c r="H6" s="176">
        <v>1.5</v>
      </c>
      <c r="I6" s="132" t="s">
        <v>63</v>
      </c>
    </row>
    <row r="7" spans="1:17" ht="21.95" customHeight="1">
      <c r="A7" s="310" t="s">
        <v>108</v>
      </c>
      <c r="B7" s="310"/>
      <c r="C7" s="310"/>
      <c r="D7" s="310"/>
      <c r="E7" s="310"/>
      <c r="G7" s="132" t="s">
        <v>109</v>
      </c>
      <c r="H7" s="132">
        <v>2</v>
      </c>
      <c r="I7" s="132" t="s">
        <v>24</v>
      </c>
    </row>
    <row r="8" spans="1:17" ht="21.95" customHeight="1">
      <c r="A8" s="177">
        <f>'Planilha - CICLOVIA'!A21</f>
        <v>2</v>
      </c>
      <c r="B8" s="178" t="str">
        <f>'Planilha - CICLOVIA'!D21</f>
        <v>TERRAPLENAGEM</v>
      </c>
      <c r="C8" s="302"/>
      <c r="D8" s="302"/>
      <c r="E8" s="302"/>
      <c r="G8" s="132" t="s">
        <v>110</v>
      </c>
      <c r="H8" s="176">
        <f>H5*H6*H7</f>
        <v>2550</v>
      </c>
      <c r="I8" s="132" t="s">
        <v>29</v>
      </c>
      <c r="O8" s="132">
        <v>10.07</v>
      </c>
      <c r="Q8" s="132">
        <f>M8+M9-O8-O9-O10-O11-O12-O15-O16-O17-O19</f>
        <v>-137.68</v>
      </c>
    </row>
    <row r="9" spans="1:17" ht="38.25">
      <c r="A9" s="180" t="str">
        <f>'Planilha - CICLOVIA'!A22</f>
        <v>2.1</v>
      </c>
      <c r="B9" s="181" t="str">
        <f>'Planilha - CICLOVIA'!D22</f>
        <v>limpeza mecanizada de camada vegetal, vegetação e pequenas árvores (diâmetro de tronco menor que 0,20 m), com trator de esteiras.af_05/2018</v>
      </c>
      <c r="C9" s="179" t="str">
        <f>'Planilha - CICLOVIA'!E22</f>
        <v>M2</v>
      </c>
      <c r="D9" s="182" t="s">
        <v>111</v>
      </c>
      <c r="E9" s="183">
        <f>H8</f>
        <v>2550</v>
      </c>
      <c r="F9" s="171"/>
      <c r="H9" s="176"/>
      <c r="O9" s="132">
        <v>47.46</v>
      </c>
    </row>
    <row r="10" spans="1:17" ht="25.5">
      <c r="A10" s="180" t="str">
        <f>'Planilha - CICLOVIA'!A23</f>
        <v>2.2</v>
      </c>
      <c r="B10" s="181" t="str">
        <f>'Planilha - CICLOVIA'!D23</f>
        <v>regularização e compactação de subleito de solo predominantemente argiloso</v>
      </c>
      <c r="C10" s="179" t="str">
        <f>'Planilha - CICLOVIA'!E23</f>
        <v>m²</v>
      </c>
      <c r="D10" s="182" t="s">
        <v>111</v>
      </c>
      <c r="E10" s="183">
        <f>H8</f>
        <v>2550</v>
      </c>
      <c r="G10" s="132" t="s">
        <v>112</v>
      </c>
      <c r="H10" s="176">
        <f>H8*0.1</f>
        <v>255</v>
      </c>
      <c r="J10" s="132" t="s">
        <v>113</v>
      </c>
      <c r="K10" s="132">
        <f>ROUND(E13+(H8*0.057+J15),2)</f>
        <v>546.98</v>
      </c>
      <c r="O10" s="132">
        <v>16.489999999999998</v>
      </c>
    </row>
    <row r="11" spans="1:17" ht="21.95" customHeight="1">
      <c r="A11" s="177">
        <f>'Planilha - CICLOVIA'!A25</f>
        <v>3</v>
      </c>
      <c r="B11" s="178" t="str">
        <f>'Planilha - CICLOVIA'!D25</f>
        <v xml:space="preserve"> PAVIMENTAÇÃO E GUIAS</v>
      </c>
      <c r="C11" s="302"/>
      <c r="D11" s="302"/>
      <c r="E11" s="302"/>
      <c r="O11" s="132">
        <v>11.87</v>
      </c>
    </row>
    <row r="12" spans="1:17">
      <c r="A12" s="177" t="str">
        <f>'Planilha - CICLOVIA'!A26</f>
        <v>3.1</v>
      </c>
      <c r="B12" s="184" t="str">
        <f>'Planilha - CICLOVIA'!B26</f>
        <v>Intertravado</v>
      </c>
      <c r="C12" s="179"/>
      <c r="D12" s="182"/>
      <c r="E12" s="182"/>
      <c r="F12" s="171"/>
      <c r="I12" s="171"/>
      <c r="J12" s="171"/>
      <c r="L12" s="171"/>
      <c r="M12" s="171"/>
      <c r="O12" s="132">
        <v>14.44</v>
      </c>
    </row>
    <row r="13" spans="1:17" ht="25.5">
      <c r="A13" s="180" t="str">
        <f>'Planilha - CICLOVIA'!A27</f>
        <v>3.1.1</v>
      </c>
      <c r="B13" s="181" t="str">
        <f>'Planilha - CICLOVIA'!D27</f>
        <v>Base ou sub-base de brita graduada com brita comercial (10 cm de espessura)</v>
      </c>
      <c r="C13" s="179" t="str">
        <f>'Planilha - CICLOVIA'!E27</f>
        <v>m³</v>
      </c>
      <c r="D13" s="182" t="s">
        <v>358</v>
      </c>
      <c r="E13" s="182">
        <f>H10</f>
        <v>255</v>
      </c>
      <c r="F13" s="132" t="s">
        <v>114</v>
      </c>
      <c r="G13" s="132" t="s">
        <v>115</v>
      </c>
      <c r="H13" s="132">
        <f>H3*H17*H14*H15</f>
        <v>0</v>
      </c>
      <c r="I13" s="132" t="s">
        <v>53</v>
      </c>
      <c r="J13" s="132" t="s">
        <v>116</v>
      </c>
      <c r="K13" s="132">
        <f>(H5*H7)-10*20</f>
        <v>1500</v>
      </c>
      <c r="L13" s="171"/>
      <c r="M13" s="171"/>
      <c r="O13" s="132">
        <v>5.73</v>
      </c>
    </row>
    <row r="14" spans="1:17" ht="54" customHeight="1">
      <c r="A14" s="180" t="str">
        <f>'Planilha - CICLOVIA'!A28</f>
        <v>3.1.2</v>
      </c>
      <c r="B14" s="181" t="str">
        <f>'Planilha - CICLOVIA'!D28</f>
        <v>Transporte com caminhão basculante de 14 m³, em via urbana em leito natural (material de base, areia, piso intertravado), DMT de 5 km</v>
      </c>
      <c r="C14" s="179" t="str">
        <f>'Planilha - CICLOVIA'!E28</f>
        <v>m³xkm</v>
      </c>
      <c r="D14" s="182" t="s">
        <v>359</v>
      </c>
      <c r="E14" s="182">
        <f>K10</f>
        <v>546.98</v>
      </c>
      <c r="G14" s="132" t="s">
        <v>107</v>
      </c>
      <c r="H14" s="132">
        <v>0.15</v>
      </c>
      <c r="I14" s="132" t="s">
        <v>63</v>
      </c>
      <c r="J14" s="171"/>
      <c r="M14" s="171"/>
      <c r="O14" s="132">
        <v>22.46</v>
      </c>
    </row>
    <row r="15" spans="1:17" ht="38.25">
      <c r="A15" s="180" t="str">
        <f>'Planilha - CICLOVIA'!A29</f>
        <v>3.1.3</v>
      </c>
      <c r="B15" s="181" t="str">
        <f>'Planilha - CICLOVIA'!D29</f>
        <v>Escavação manual de vala com profundidade menor ou igual a 1,30 m c 02/2021</v>
      </c>
      <c r="C15" s="179" t="str">
        <f>'Planilha - CICLOVIA'!E29</f>
        <v>m³</v>
      </c>
      <c r="D15" s="182" t="s">
        <v>360</v>
      </c>
      <c r="E15" s="182">
        <f>H15</f>
        <v>33.75</v>
      </c>
      <c r="F15" s="132" t="s">
        <v>114</v>
      </c>
      <c r="G15" s="132" t="s">
        <v>115</v>
      </c>
      <c r="H15" s="132">
        <f>K13*H16*H17</f>
        <v>33.75</v>
      </c>
      <c r="I15" s="132" t="s">
        <v>53</v>
      </c>
      <c r="J15" s="132">
        <f>(H8*46)/800</f>
        <v>146.625</v>
      </c>
      <c r="L15" s="171">
        <f>K13/2</f>
        <v>750</v>
      </c>
      <c r="M15" s="171"/>
      <c r="O15" s="132">
        <v>5.73</v>
      </c>
    </row>
    <row r="16" spans="1:17" ht="54" customHeight="1">
      <c r="A16" s="180" t="str">
        <f>'Planilha - CICLOVIA'!A30</f>
        <v>3.1.4</v>
      </c>
      <c r="B16" s="181" t="str">
        <f>'Planilha - CICLOVIA'!D30</f>
        <v>Lastro de concreto magro, aplicado em pisos, lajes sobre solo ou radier, espessura de 3 cm.</v>
      </c>
      <c r="C16" s="179" t="str">
        <f>'Planilha - CICLOVIA'!E30</f>
        <v>m²</v>
      </c>
      <c r="D16" s="182" t="s">
        <v>361</v>
      </c>
      <c r="E16" s="182">
        <f>K13*H16</f>
        <v>225</v>
      </c>
      <c r="G16" s="132" t="s">
        <v>107</v>
      </c>
      <c r="H16" s="132">
        <v>0.15</v>
      </c>
      <c r="I16" s="132" t="s">
        <v>63</v>
      </c>
      <c r="J16" s="171"/>
      <c r="M16" s="171"/>
      <c r="O16" s="132">
        <v>22.46</v>
      </c>
    </row>
    <row r="17" spans="1:17" ht="51">
      <c r="A17" s="180" t="str">
        <f>'Planilha - CICLOVIA'!A31</f>
        <v>3.1.5</v>
      </c>
      <c r="B17" s="181" t="str">
        <f>'Planilha - CICLOVIA'!D31</f>
        <v>Assentamento de guia (meio-fio) em trecho reto, confeccionada em concreto pré-fabricado, dimensões 80x08x08x25 cm (comprimento x base inferior x base superior x altura), para urbanização. (externo)</v>
      </c>
      <c r="C17" s="179" t="str">
        <f>'Planilha - CICLOVIA'!E31</f>
        <v>m</v>
      </c>
      <c r="D17" s="182" t="s">
        <v>362</v>
      </c>
      <c r="E17" s="183">
        <f>K13</f>
        <v>1500</v>
      </c>
      <c r="G17" s="132" t="s">
        <v>117</v>
      </c>
      <c r="H17" s="132">
        <v>0.15</v>
      </c>
      <c r="I17" s="132" t="s">
        <v>63</v>
      </c>
      <c r="J17" s="171"/>
      <c r="M17" s="171"/>
      <c r="O17" s="132">
        <f>1.03+1+2.41+2.48</f>
        <v>6.92</v>
      </c>
    </row>
    <row r="18" spans="1:17" ht="25.5">
      <c r="A18" s="180" t="str">
        <f>'Planilha - CICLOVIA'!A32</f>
        <v>3.1.6</v>
      </c>
      <c r="B18" s="181" t="str">
        <f>'Planilha - CICLOVIA'!D32</f>
        <v>reaterro manual apiloado com soquete. af_10/2017</v>
      </c>
      <c r="C18" s="179" t="str">
        <f>'Planilha - CICLOVIA'!E32</f>
        <v>M³</v>
      </c>
      <c r="D18" s="182" t="s">
        <v>363</v>
      </c>
      <c r="E18" s="183">
        <f>H21</f>
        <v>13.349999999999998</v>
      </c>
      <c r="G18" s="132" t="s">
        <v>117</v>
      </c>
      <c r="H18" s="132">
        <v>0.15</v>
      </c>
      <c r="I18" s="132" t="s">
        <v>63</v>
      </c>
      <c r="J18" s="171"/>
      <c r="M18" s="171"/>
      <c r="O18" s="132">
        <f>1.03+1+2.41+2.48</f>
        <v>6.92</v>
      </c>
    </row>
    <row r="19" spans="1:17" ht="25.5">
      <c r="A19" s="180" t="str">
        <f>'Planilha - CICLOVIA'!A33</f>
        <v>3.1.7</v>
      </c>
      <c r="B19" s="181" t="str">
        <f>'Planilha - CICLOVIA'!D33</f>
        <v>Meio fio de concreto - MFC 03 - areia e brita comerciais - Fôrma de madeira (interno - meio fio com sarjeta)</v>
      </c>
      <c r="C19" s="179" t="str">
        <f>'Planilha - CICLOVIA'!E33</f>
        <v>m</v>
      </c>
      <c r="D19" s="182" t="s">
        <v>364</v>
      </c>
      <c r="E19" s="183">
        <f>K13</f>
        <v>1500</v>
      </c>
      <c r="G19" s="132" t="s">
        <v>118</v>
      </c>
      <c r="H19" s="132">
        <v>2</v>
      </c>
      <c r="I19" s="171"/>
      <c r="O19" s="132">
        <v>2.2400000000000002</v>
      </c>
    </row>
    <row r="20" spans="1:17">
      <c r="A20" s="180" t="str">
        <f>'Planilha - CICLOVIA'!A34</f>
        <v>3.1.8</v>
      </c>
      <c r="B20" s="181" t="str">
        <f>'Planilha - CICLOVIA'!D34</f>
        <v>Pintura de meio fio com tinta branca a base de cal (caiação)</v>
      </c>
      <c r="C20" s="179" t="str">
        <f>'Planilha - CICLOVIA'!E34</f>
        <v>m</v>
      </c>
      <c r="D20" s="182" t="s">
        <v>365</v>
      </c>
      <c r="E20" s="183">
        <f>E19+E17</f>
        <v>3000</v>
      </c>
      <c r="G20" s="132" t="s">
        <v>118</v>
      </c>
      <c r="H20" s="132">
        <v>2</v>
      </c>
      <c r="I20" s="171"/>
      <c r="O20" s="132">
        <v>2.2400000000000002</v>
      </c>
    </row>
    <row r="21" spans="1:17" ht="38.25">
      <c r="A21" s="180" t="str">
        <f>'Planilha - CICLOVIA'!A35</f>
        <v>3.1.9</v>
      </c>
      <c r="B21" s="181" t="str">
        <f>'Planilha - CICLOVIA'!D35</f>
        <v>Execução de passeio em piso intertravado, com bloco retangular colorido (vermelho) de 20 x 10  cm, espessura de 6 cm.</v>
      </c>
      <c r="C21" s="179" t="str">
        <f>'Planilha - CICLOVIA'!E35</f>
        <v>m²</v>
      </c>
      <c r="D21" s="182" t="s">
        <v>366</v>
      </c>
      <c r="E21" s="183">
        <f>H8</f>
        <v>2550</v>
      </c>
      <c r="G21" s="132" t="s">
        <v>119</v>
      </c>
      <c r="H21" s="132">
        <f>H15-(0.08*H17*H5*H7)</f>
        <v>13.349999999999998</v>
      </c>
      <c r="I21" s="171"/>
    </row>
    <row r="22" spans="1:17">
      <c r="A22" s="177" t="str">
        <f>'Planilha - CICLOVIA'!A37</f>
        <v>3.2</v>
      </c>
      <c r="B22" s="184" t="str">
        <f>'Planilha - CICLOVIA'!B37</f>
        <v>Acessibilidade</v>
      </c>
      <c r="C22" s="179"/>
      <c r="D22" s="182"/>
      <c r="E22" s="182"/>
      <c r="F22" s="171"/>
      <c r="I22" s="171"/>
      <c r="J22" s="171"/>
      <c r="L22" s="171"/>
      <c r="M22" s="171"/>
    </row>
    <row r="23" spans="1:17" ht="25.5">
      <c r="A23" s="180" t="str">
        <f>'Planilha - CICLOVIA'!A38</f>
        <v>3.2.1</v>
      </c>
      <c r="B23" s="181" t="str">
        <f>'Planilha - CICLOVIA'!D38</f>
        <v>Execução de rampa de acesso (encontro com as vias existentes)</v>
      </c>
      <c r="C23" s="179" t="str">
        <f>'Planilha - CICLOVIA'!E38</f>
        <v>m³</v>
      </c>
      <c r="D23" s="182" t="s">
        <v>356</v>
      </c>
      <c r="E23" s="183">
        <f>28*0.4</f>
        <v>11.200000000000001</v>
      </c>
      <c r="I23" s="171"/>
      <c r="J23" s="171"/>
      <c r="M23" s="171"/>
    </row>
    <row r="24" spans="1:17" ht="21.95" customHeight="1">
      <c r="A24" s="177">
        <f>'Planilha - CICLOVIA'!A41</f>
        <v>4</v>
      </c>
      <c r="B24" s="178" t="str">
        <f>'Planilha - CICLOVIA'!D41</f>
        <v>SINALIZAÇÃO</v>
      </c>
      <c r="C24" s="302"/>
      <c r="D24" s="302"/>
      <c r="E24" s="302"/>
      <c r="G24" s="132" t="s">
        <v>110</v>
      </c>
      <c r="H24" s="176">
        <f>H21*H22*H23</f>
        <v>0</v>
      </c>
      <c r="I24" s="132" t="s">
        <v>29</v>
      </c>
      <c r="O24" s="132">
        <v>10.07</v>
      </c>
      <c r="Q24" s="132">
        <f>M24+M25-O24-O25-O26-O27-O28-O31-O32-O33-O35</f>
        <v>-74.02</v>
      </c>
    </row>
    <row r="25" spans="1:17" ht="38.25">
      <c r="A25" s="180" t="str">
        <f>'Planilha - CICLOVIA'!A42</f>
        <v>4.1</v>
      </c>
      <c r="B25" s="181" t="str">
        <f>'Planilha - CICLOVIA'!D42</f>
        <v>Sinalização horizontal rodoviária, com tinta retrorrefletiva à base de resina acrílica com microesferas de vidro</v>
      </c>
      <c r="C25" s="179" t="str">
        <f>'Planilha - CICLOVIA'!E42</f>
        <v>m²</v>
      </c>
      <c r="D25" s="182" t="s">
        <v>367</v>
      </c>
      <c r="E25" s="183">
        <f>H5*H7*3*0.12</f>
        <v>612</v>
      </c>
      <c r="F25" s="171"/>
      <c r="H25" s="176"/>
      <c r="O25" s="132">
        <v>47.46</v>
      </c>
    </row>
    <row r="26" spans="1:17" ht="63.75">
      <c r="A26" s="180" t="str">
        <f>'Planilha - CICLOVIA'!A43</f>
        <v>4.2</v>
      </c>
      <c r="B26" s="181" t="str">
        <f>'Planilha - CICLOVIA'!D43</f>
        <v>Confecção, montagem e instalação de placa de sinalização em chapa de aço galvanizado nº 18 (60x50 cm), com 02 demãos de fundo anti-corrosivo (super galvite ou similar), 02 demãos de esmalte e mensagem em película refletiva, auto-adesiva</v>
      </c>
      <c r="C26" s="179" t="str">
        <f>'Planilha - CICLOVIA'!E43</f>
        <v>und</v>
      </c>
      <c r="D26" s="182" t="s">
        <v>368</v>
      </c>
      <c r="E26" s="183">
        <v>20</v>
      </c>
      <c r="G26" s="132" t="s">
        <v>112</v>
      </c>
      <c r="H26" s="176">
        <f>H24*0.1</f>
        <v>0</v>
      </c>
      <c r="J26" s="132" t="s">
        <v>113</v>
      </c>
      <c r="K26" s="132">
        <f>ROUND(E29+(H24*0.057+J31),2)</f>
        <v>0</v>
      </c>
      <c r="O26" s="132">
        <v>16.489999999999998</v>
      </c>
    </row>
    <row r="27" spans="1:17" ht="33" customHeight="1">
      <c r="A27" s="303" t="s">
        <v>120</v>
      </c>
      <c r="B27" s="303"/>
      <c r="C27" s="303"/>
      <c r="D27" s="303"/>
      <c r="E27" s="303"/>
    </row>
  </sheetData>
  <mergeCells count="9">
    <mergeCell ref="C8:E8"/>
    <mergeCell ref="C11:E11"/>
    <mergeCell ref="C24:E24"/>
    <mergeCell ref="A27:E27"/>
    <mergeCell ref="B1:E1"/>
    <mergeCell ref="B2:E2"/>
    <mergeCell ref="B3:E3"/>
    <mergeCell ref="A5:E5"/>
    <mergeCell ref="A7:E7"/>
  </mergeCells>
  <printOptions horizontalCentered="1"/>
  <pageMargins left="0.511811023622047" right="0.511811023622047" top="0.98425196850393704" bottom="0.78740157480314998" header="0.31496062992126" footer="0.31496062992126"/>
  <pageSetup paperSize="9" scale="65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view="pageBreakPreview" zoomScale="106" zoomScaleSheetLayoutView="106" workbookViewId="0">
      <selection activeCell="A6" sqref="A6"/>
    </sheetView>
  </sheetViews>
  <sheetFormatPr defaultColWidth="9.140625" defaultRowHeight="12.75"/>
  <cols>
    <col min="1" max="1" width="9.140625" style="133"/>
    <col min="2" max="2" width="27.5703125" style="133" customWidth="1"/>
    <col min="3" max="6" width="9.140625" style="133"/>
    <col min="7" max="7" width="14.42578125" style="133" customWidth="1"/>
    <col min="8" max="10" width="9.140625" style="133"/>
    <col min="11" max="11" width="8.28515625" style="133" customWidth="1"/>
    <col min="12" max="16384" width="9.140625" style="133"/>
  </cols>
  <sheetData>
    <row r="1" spans="1:14" s="132" customFormat="1" ht="12.75" customHeight="1">
      <c r="A1" s="319" t="s">
        <v>90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1"/>
    </row>
    <row r="2" spans="1:14" s="132" customFormat="1" ht="12.75" customHeight="1">
      <c r="A2" s="319" t="s">
        <v>121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1"/>
    </row>
    <row r="3" spans="1:14" s="132" customFormat="1" ht="12.75" customHeight="1">
      <c r="A3" s="319" t="s">
        <v>92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1"/>
    </row>
    <row r="4" spans="1:14">
      <c r="A4" s="134"/>
      <c r="B4" s="135"/>
      <c r="C4" s="135"/>
      <c r="D4" s="136"/>
      <c r="E4" s="136"/>
      <c r="F4" s="137"/>
      <c r="G4" s="138"/>
      <c r="H4" s="138"/>
      <c r="I4" s="138"/>
      <c r="J4" s="138"/>
      <c r="K4" s="138"/>
      <c r="L4" s="138"/>
      <c r="M4" s="138"/>
      <c r="N4" s="163"/>
    </row>
    <row r="5" spans="1:14" ht="47.25" customHeight="1">
      <c r="A5" s="322" t="str">
        <f>'Planilha - CICLOVIA'!A5:I5</f>
        <v>EXECUÇÃO DE OBRAS/SERVIÇOS OBJETIVANDO A IMPLANTAÇÃO DE CICLOVIA EM TRECHO DA RODOVIA BA 800, QUE LIGA IRECÊ AO DISTRITO DE MEIA-HORA, NO MUNICÍPIO DE IRECÊ/BA, NA ÁREA DE ATUAÇÃO DA 2ª SUPERINTENDÊNCIA REGIONAL DA CODEVASF, NO ESTADO DA BAHIA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23"/>
    </row>
    <row r="6" spans="1:14">
      <c r="A6" s="139"/>
      <c r="B6" s="140"/>
      <c r="C6" s="140"/>
      <c r="D6" s="141"/>
      <c r="E6" s="142"/>
      <c r="F6" s="143"/>
      <c r="G6" s="143"/>
      <c r="H6" s="143"/>
      <c r="I6" s="143"/>
      <c r="J6" s="138"/>
      <c r="K6" s="138"/>
      <c r="L6" s="138"/>
      <c r="M6" s="138"/>
      <c r="N6" s="163"/>
    </row>
    <row r="7" spans="1:14" ht="26.25" customHeight="1">
      <c r="A7" s="316" t="s">
        <v>122</v>
      </c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8"/>
    </row>
    <row r="8" spans="1:14" ht="12.75" customHeight="1">
      <c r="A8" s="316"/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8"/>
    </row>
    <row r="9" spans="1:14">
      <c r="A9" s="144"/>
      <c r="B9" s="145"/>
      <c r="C9" s="324" t="s">
        <v>123</v>
      </c>
      <c r="D9" s="324"/>
      <c r="E9" s="324"/>
      <c r="F9" s="324"/>
      <c r="G9" s="324"/>
      <c r="H9" s="324"/>
      <c r="I9" s="324"/>
      <c r="J9" s="324"/>
      <c r="K9" s="138"/>
      <c r="L9" s="138"/>
      <c r="M9" s="138"/>
      <c r="N9" s="163"/>
    </row>
    <row r="10" spans="1:14" ht="20.25">
      <c r="A10" s="311"/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3"/>
    </row>
    <row r="11" spans="1:14" ht="23.25">
      <c r="A11" s="146"/>
      <c r="B11" s="147"/>
      <c r="C11" s="147"/>
      <c r="D11" s="147"/>
      <c r="E11" s="147"/>
      <c r="F11" s="147"/>
      <c r="G11" s="138"/>
      <c r="H11" s="138"/>
      <c r="I11" s="138"/>
      <c r="J11" s="138"/>
      <c r="K11" s="138"/>
      <c r="L11" s="138"/>
      <c r="M11" s="138"/>
      <c r="N11" s="163"/>
    </row>
    <row r="12" spans="1:14">
      <c r="A12" s="148" t="s">
        <v>124</v>
      </c>
      <c r="B12" s="149"/>
      <c r="C12" s="150" t="s">
        <v>125</v>
      </c>
      <c r="D12" s="149"/>
      <c r="E12" s="151"/>
      <c r="F12" s="151"/>
      <c r="G12" s="138"/>
      <c r="H12" s="138"/>
      <c r="I12" s="138"/>
      <c r="J12" s="138"/>
      <c r="K12" s="138"/>
      <c r="L12" s="138"/>
      <c r="M12" s="138"/>
      <c r="N12" s="163"/>
    </row>
    <row r="13" spans="1:14">
      <c r="A13" s="148" t="s">
        <v>126</v>
      </c>
      <c r="B13" s="149"/>
      <c r="C13" s="150" t="s">
        <v>125</v>
      </c>
      <c r="D13" s="149"/>
      <c r="E13" s="151"/>
      <c r="F13" s="151"/>
      <c r="G13" s="138"/>
      <c r="H13" s="138"/>
      <c r="I13" s="138"/>
      <c r="J13" s="138"/>
      <c r="K13" s="138"/>
      <c r="L13" s="138"/>
      <c r="M13" s="138"/>
      <c r="N13" s="163"/>
    </row>
    <row r="14" spans="1:14">
      <c r="A14" s="152" t="s">
        <v>127</v>
      </c>
      <c r="B14" s="153"/>
      <c r="C14" s="154">
        <v>5</v>
      </c>
      <c r="D14" s="153" t="s">
        <v>128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63"/>
    </row>
    <row r="15" spans="1:14">
      <c r="A15" s="152"/>
      <c r="B15" s="153"/>
      <c r="C15" s="155"/>
      <c r="D15" s="153"/>
      <c r="E15" s="138"/>
      <c r="F15" s="138"/>
      <c r="G15" s="138"/>
      <c r="H15" s="138"/>
      <c r="I15" s="138"/>
      <c r="J15" s="138"/>
      <c r="K15" s="138"/>
      <c r="L15" s="138"/>
      <c r="M15" s="138"/>
      <c r="N15" s="163"/>
    </row>
    <row r="16" spans="1:14">
      <c r="A16" s="152" t="s">
        <v>129</v>
      </c>
      <c r="B16" s="153"/>
      <c r="C16" s="156">
        <v>5</v>
      </c>
      <c r="D16" s="153" t="s">
        <v>128</v>
      </c>
      <c r="E16" s="138"/>
      <c r="F16" s="138"/>
      <c r="G16" s="138"/>
      <c r="H16" s="138"/>
      <c r="I16" s="138"/>
      <c r="J16" s="138"/>
      <c r="K16" s="138"/>
      <c r="L16" s="138"/>
      <c r="M16" s="138"/>
      <c r="N16" s="163"/>
    </row>
    <row r="17" spans="1:14">
      <c r="A17" s="152"/>
      <c r="B17" s="153"/>
      <c r="C17" s="153"/>
      <c r="D17" s="153"/>
      <c r="E17" s="138"/>
      <c r="F17" s="138"/>
      <c r="G17" s="138"/>
      <c r="H17" s="138"/>
      <c r="I17" s="138"/>
      <c r="J17" s="138"/>
      <c r="K17" s="138"/>
      <c r="L17" s="138"/>
      <c r="M17" s="138"/>
      <c r="N17" s="163"/>
    </row>
    <row r="18" spans="1:14">
      <c r="A18" s="152" t="s">
        <v>130</v>
      </c>
      <c r="B18" s="153"/>
      <c r="C18" s="153" t="s">
        <v>131</v>
      </c>
      <c r="D18" s="153"/>
      <c r="F18" s="153"/>
      <c r="G18" s="153"/>
      <c r="H18" s="154">
        <v>7.2</v>
      </c>
      <c r="I18" s="153" t="s">
        <v>132</v>
      </c>
      <c r="J18" s="138"/>
      <c r="K18" s="138"/>
      <c r="L18" s="138"/>
      <c r="M18" s="138"/>
      <c r="N18" s="163"/>
    </row>
    <row r="19" spans="1:14">
      <c r="A19" s="152" t="s">
        <v>130</v>
      </c>
      <c r="B19" s="153"/>
      <c r="C19" s="153" t="s">
        <v>133</v>
      </c>
      <c r="D19" s="153"/>
      <c r="F19" s="153"/>
      <c r="G19" s="153"/>
      <c r="H19" s="154">
        <v>2.4</v>
      </c>
      <c r="I19" s="153" t="s">
        <v>132</v>
      </c>
      <c r="J19" s="138"/>
      <c r="K19" s="138"/>
      <c r="L19" s="138"/>
      <c r="M19" s="138"/>
      <c r="N19" s="163"/>
    </row>
    <row r="20" spans="1:14">
      <c r="A20" s="152" t="s">
        <v>130</v>
      </c>
      <c r="B20" s="153"/>
      <c r="C20" s="153" t="s">
        <v>134</v>
      </c>
      <c r="D20" s="153"/>
      <c r="F20" s="153"/>
      <c r="G20" s="153"/>
      <c r="H20" s="154">
        <v>11.5</v>
      </c>
      <c r="I20" s="153" t="s">
        <v>132</v>
      </c>
      <c r="J20" s="138"/>
      <c r="K20" s="138"/>
      <c r="L20" s="138"/>
      <c r="M20" s="138"/>
      <c r="N20" s="163"/>
    </row>
    <row r="21" spans="1:14">
      <c r="A21" s="152" t="s">
        <v>130</v>
      </c>
      <c r="B21" s="153"/>
      <c r="C21" s="153" t="s">
        <v>135</v>
      </c>
      <c r="D21" s="153"/>
      <c r="F21" s="153"/>
      <c r="G21" s="153"/>
      <c r="H21" s="154">
        <v>10.4</v>
      </c>
      <c r="I21" s="153" t="s">
        <v>132</v>
      </c>
      <c r="J21" s="138"/>
      <c r="K21" s="138"/>
      <c r="L21" s="138"/>
      <c r="M21" s="138"/>
      <c r="N21" s="163"/>
    </row>
    <row r="22" spans="1:14">
      <c r="A22" s="157"/>
      <c r="B22" s="138"/>
      <c r="C22" s="138"/>
      <c r="D22" s="138"/>
      <c r="E22" s="153"/>
      <c r="F22" s="153"/>
      <c r="G22" s="153"/>
      <c r="H22" s="158"/>
      <c r="I22" s="153"/>
      <c r="J22" s="138"/>
      <c r="K22" s="138"/>
      <c r="L22" s="138"/>
      <c r="M22" s="138"/>
      <c r="N22" s="163"/>
    </row>
    <row r="23" spans="1:14">
      <c r="A23" s="157"/>
      <c r="B23" s="138"/>
      <c r="C23" s="138"/>
      <c r="D23" s="138"/>
      <c r="E23" s="159" t="s">
        <v>136</v>
      </c>
      <c r="F23" s="153"/>
      <c r="G23" s="153"/>
      <c r="H23" s="156">
        <f>SUM(H18:H21)</f>
        <v>31.5</v>
      </c>
      <c r="I23" s="153" t="s">
        <v>132</v>
      </c>
      <c r="J23" s="138"/>
      <c r="K23" s="138"/>
      <c r="L23" s="138"/>
      <c r="M23" s="138"/>
      <c r="N23" s="164"/>
    </row>
    <row r="24" spans="1:14">
      <c r="A24" s="157"/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63"/>
    </row>
    <row r="25" spans="1:14">
      <c r="A25" s="157"/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63"/>
    </row>
    <row r="26" spans="1:14" ht="15.75">
      <c r="A26" s="160" t="str">
        <f>"Momento de transporte  =  "&amp;TEXT(H23,"0,00")&amp;"  x  "&amp;TEXT(C16,"0,00")&amp;"            =&gt;"</f>
        <v>Momento de transporte  =  31,50  x  5,00            =&gt;</v>
      </c>
      <c r="B26" s="161"/>
      <c r="C26" s="161"/>
      <c r="D26" s="161"/>
      <c r="E26" s="161"/>
      <c r="F26" s="314">
        <f>ROUND(C16*H23,2)</f>
        <v>157.5</v>
      </c>
      <c r="G26" s="315"/>
      <c r="H26" s="162" t="s">
        <v>137</v>
      </c>
      <c r="I26" s="161"/>
      <c r="J26" s="161"/>
      <c r="K26" s="161"/>
      <c r="L26" s="161"/>
      <c r="M26" s="161"/>
      <c r="N26" s="165"/>
    </row>
  </sheetData>
  <mergeCells count="8">
    <mergeCell ref="A10:N10"/>
    <mergeCell ref="F26:G26"/>
    <mergeCell ref="A7:N8"/>
    <mergeCell ref="A1:N1"/>
    <mergeCell ref="A2:N2"/>
    <mergeCell ref="A3:N3"/>
    <mergeCell ref="A5:N5"/>
    <mergeCell ref="C9:J9"/>
  </mergeCells>
  <printOptions horizontalCentered="1"/>
  <pageMargins left="0.511811023622047" right="0.511811023622047" top="0.78740157480314998" bottom="0.78740157480314998" header="0.31496062992126" footer="0.31496062992126"/>
  <pageSetup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opLeftCell="A13" workbookViewId="0">
      <selection activeCell="L8" sqref="L8"/>
    </sheetView>
  </sheetViews>
  <sheetFormatPr defaultColWidth="9" defaultRowHeight="12.75"/>
  <cols>
    <col min="1" max="3" width="13.28515625" customWidth="1"/>
    <col min="4" max="4" width="52.7109375" customWidth="1"/>
    <col min="6" max="6" width="17.28515625" customWidth="1"/>
    <col min="7" max="7" width="19.7109375" customWidth="1"/>
    <col min="8" max="8" width="19.42578125" customWidth="1"/>
  </cols>
  <sheetData>
    <row r="1" spans="1:8">
      <c r="A1" s="78"/>
      <c r="B1" s="79"/>
      <c r="C1" s="79"/>
      <c r="D1" s="336" t="s">
        <v>138</v>
      </c>
      <c r="E1" s="337"/>
      <c r="F1" s="337"/>
      <c r="G1" s="337"/>
      <c r="H1" s="338"/>
    </row>
    <row r="2" spans="1:8">
      <c r="A2" s="80"/>
      <c r="B2" s="81"/>
      <c r="C2" s="81"/>
      <c r="D2" s="339" t="s">
        <v>139</v>
      </c>
      <c r="E2" s="340"/>
      <c r="F2" s="340"/>
      <c r="G2" s="340"/>
      <c r="H2" s="341"/>
    </row>
    <row r="3" spans="1:8">
      <c r="A3" s="80"/>
      <c r="B3" s="81"/>
      <c r="C3" s="81"/>
      <c r="D3" s="339" t="s">
        <v>140</v>
      </c>
      <c r="E3" s="340"/>
      <c r="F3" s="340"/>
      <c r="G3" s="340"/>
      <c r="H3" s="341"/>
    </row>
    <row r="4" spans="1:8">
      <c r="A4" s="80"/>
      <c r="B4" s="81"/>
      <c r="C4" s="81"/>
      <c r="D4" s="81"/>
      <c r="E4" s="81"/>
      <c r="F4" s="81"/>
      <c r="G4" s="81"/>
      <c r="H4" s="82"/>
    </row>
    <row r="5" spans="1:8" ht="15.75">
      <c r="A5" s="342" t="s">
        <v>357</v>
      </c>
      <c r="B5" s="343"/>
      <c r="C5" s="343"/>
      <c r="D5" s="343"/>
      <c r="E5" s="343"/>
      <c r="F5" s="343"/>
      <c r="G5" s="343"/>
      <c r="H5" s="344"/>
    </row>
    <row r="6" spans="1:8" ht="15.75">
      <c r="A6" s="83"/>
      <c r="B6" s="84"/>
      <c r="C6" s="84"/>
      <c r="D6" s="84"/>
      <c r="E6" s="84"/>
      <c r="F6" s="84"/>
      <c r="G6" s="84"/>
      <c r="H6" s="85"/>
    </row>
    <row r="7" spans="1:8" ht="36" customHeight="1">
      <c r="A7" s="345" t="str">
        <f>'Planilha - CICLOVIA'!A5:I5</f>
        <v>EXECUÇÃO DE OBRAS/SERVIÇOS OBJETIVANDO A IMPLANTAÇÃO DE CICLOVIA EM TRECHO DA RODOVIA BA 800, QUE LIGA IRECÊ AO DISTRITO DE MEIA-HORA, NO MUNICÍPIO DE IRECÊ/BA, NA ÁREA DE ATUAÇÃO DA 2ª SUPERINTENDÊNCIA REGIONAL DA CODEVASF, NO ESTADO DA BAHIA</v>
      </c>
      <c r="B7" s="291"/>
      <c r="C7" s="291"/>
      <c r="D7" s="291"/>
      <c r="E7" s="291"/>
      <c r="F7" s="291"/>
      <c r="G7" s="291"/>
      <c r="H7" s="346"/>
    </row>
    <row r="8" spans="1:8" ht="15.75">
      <c r="A8" s="83"/>
      <c r="B8" s="84"/>
      <c r="C8" s="84"/>
      <c r="D8" s="84"/>
      <c r="E8" s="84"/>
      <c r="F8" s="84"/>
      <c r="G8" s="84"/>
      <c r="H8" s="85"/>
    </row>
    <row r="9" spans="1:8" ht="21.95" customHeight="1">
      <c r="A9" s="80"/>
      <c r="B9" s="81"/>
      <c r="C9" s="84"/>
      <c r="D9" s="84"/>
      <c r="E9" s="81"/>
      <c r="F9" s="329" t="s">
        <v>141</v>
      </c>
      <c r="G9" s="330"/>
      <c r="H9" s="86">
        <f>BDI!D36</f>
        <v>0.2261</v>
      </c>
    </row>
    <row r="10" spans="1:8" ht="21.95" customHeight="1">
      <c r="A10" s="80"/>
      <c r="B10" s="81"/>
      <c r="C10" s="84"/>
      <c r="D10" s="84"/>
      <c r="E10" s="81"/>
      <c r="F10" s="331" t="s">
        <v>142</v>
      </c>
      <c r="G10" s="332"/>
      <c r="H10" s="87">
        <f>'ENCARGOS SOCIAIS'!F52</f>
        <v>1.1446999999999998</v>
      </c>
    </row>
    <row r="11" spans="1:8" ht="21.95" customHeight="1">
      <c r="A11" s="88" t="s">
        <v>6</v>
      </c>
      <c r="B11" s="286" t="s">
        <v>7</v>
      </c>
      <c r="C11" s="286"/>
      <c r="D11" s="286"/>
      <c r="E11" s="81"/>
      <c r="F11" s="333" t="s">
        <v>191</v>
      </c>
      <c r="G11" s="334"/>
      <c r="H11" s="335"/>
    </row>
    <row r="12" spans="1:8" ht="15" customHeight="1">
      <c r="A12" s="80"/>
      <c r="B12" s="81"/>
      <c r="C12" s="81"/>
      <c r="D12" s="81"/>
      <c r="E12" s="81"/>
      <c r="F12" s="81"/>
      <c r="G12" s="81"/>
      <c r="H12" s="82"/>
    </row>
    <row r="13" spans="1:8" ht="35.25" customHeight="1">
      <c r="A13" s="114" t="s">
        <v>143</v>
      </c>
      <c r="B13" s="114" t="s">
        <v>18</v>
      </c>
      <c r="C13" s="114" t="s">
        <v>144</v>
      </c>
      <c r="D13" s="115" t="s">
        <v>145</v>
      </c>
      <c r="E13" s="114" t="s">
        <v>146</v>
      </c>
      <c r="F13" s="116" t="s">
        <v>14</v>
      </c>
      <c r="G13" s="116" t="s">
        <v>147</v>
      </c>
      <c r="H13" s="116" t="s">
        <v>148</v>
      </c>
    </row>
    <row r="14" spans="1:8" ht="27" customHeight="1">
      <c r="A14" s="117" t="s">
        <v>149</v>
      </c>
      <c r="B14" s="117" t="s">
        <v>40</v>
      </c>
      <c r="C14" s="117">
        <v>90776</v>
      </c>
      <c r="D14" s="118" t="s">
        <v>150</v>
      </c>
      <c r="E14" s="117" t="s">
        <v>153</v>
      </c>
      <c r="F14" s="119">
        <v>124</v>
      </c>
      <c r="G14" s="450">
        <v>31.19</v>
      </c>
      <c r="H14" s="120">
        <f>ROUND(F14*G14,2)</f>
        <v>3867.56</v>
      </c>
    </row>
    <row r="15" spans="1:8" ht="27" customHeight="1">
      <c r="A15" s="117" t="s">
        <v>149</v>
      </c>
      <c r="B15" s="117" t="s">
        <v>40</v>
      </c>
      <c r="C15" s="117">
        <v>90777</v>
      </c>
      <c r="D15" s="118" t="s">
        <v>152</v>
      </c>
      <c r="E15" s="117" t="s">
        <v>153</v>
      </c>
      <c r="F15" s="119">
        <v>33</v>
      </c>
      <c r="G15" s="450">
        <v>93.77</v>
      </c>
      <c r="H15" s="120">
        <f>ROUND(F15*G15,2)</f>
        <v>3094.41</v>
      </c>
    </row>
    <row r="16" spans="1:8" ht="21.95" customHeight="1">
      <c r="A16" s="80"/>
      <c r="B16" s="81"/>
      <c r="C16" s="81"/>
      <c r="D16" s="81"/>
      <c r="E16" s="325" t="s">
        <v>154</v>
      </c>
      <c r="F16" s="326"/>
      <c r="G16" s="327"/>
      <c r="H16" s="121">
        <f>ROUND(SUM(H14:H15),2)</f>
        <v>6961.97</v>
      </c>
    </row>
    <row r="17" spans="1:8" ht="21.95" customHeight="1">
      <c r="A17" s="80"/>
      <c r="B17" s="81"/>
      <c r="C17" s="81"/>
      <c r="D17" s="81"/>
      <c r="E17" s="328">
        <f>$H$9</f>
        <v>0.2261</v>
      </c>
      <c r="F17" s="326"/>
      <c r="G17" s="327"/>
      <c r="H17" s="122">
        <f>ROUND((E17*H16),2)</f>
        <v>1574.1</v>
      </c>
    </row>
    <row r="18" spans="1:8" ht="21.95" customHeight="1">
      <c r="A18" s="80"/>
      <c r="B18" s="81"/>
      <c r="C18" s="81"/>
      <c r="D18" s="81"/>
      <c r="E18" s="325" t="s">
        <v>154</v>
      </c>
      <c r="F18" s="326"/>
      <c r="G18" s="327"/>
      <c r="H18" s="121">
        <f>ROUND(H16+H17,2)</f>
        <v>8536.07</v>
      </c>
    </row>
    <row r="19" spans="1:8" ht="21.95" customHeight="1">
      <c r="A19" s="80"/>
      <c r="B19" s="81"/>
      <c r="C19" s="81"/>
      <c r="D19" s="81"/>
      <c r="E19" s="325" t="s">
        <v>155</v>
      </c>
      <c r="F19" s="326"/>
      <c r="G19" s="327"/>
      <c r="H19" s="123">
        <f>ROUND(H18*3,2)</f>
        <v>25608.21</v>
      </c>
    </row>
    <row r="20" spans="1:8" ht="21.95" customHeight="1">
      <c r="A20" s="80"/>
      <c r="B20" s="81"/>
      <c r="C20" s="81"/>
      <c r="D20" s="81"/>
      <c r="E20" s="325" t="s">
        <v>156</v>
      </c>
      <c r="F20" s="326"/>
      <c r="G20" s="327"/>
      <c r="H20" s="126">
        <f>H19</f>
        <v>25608.21</v>
      </c>
    </row>
    <row r="21" spans="1:8" ht="21.95" customHeight="1">
      <c r="A21" s="80"/>
      <c r="B21" s="81"/>
      <c r="C21" s="81"/>
      <c r="D21" s="81"/>
      <c r="E21" s="81"/>
      <c r="F21" s="81"/>
      <c r="G21" s="81"/>
      <c r="H21" s="82"/>
    </row>
    <row r="22" spans="1:8" ht="43.5" customHeight="1">
      <c r="A22" s="114" t="s">
        <v>22</v>
      </c>
      <c r="B22" s="114" t="s">
        <v>18</v>
      </c>
      <c r="C22" s="114" t="s">
        <v>144</v>
      </c>
      <c r="D22" s="115" t="s">
        <v>157</v>
      </c>
      <c r="E22" s="114" t="s">
        <v>158</v>
      </c>
      <c r="F22" s="116" t="s">
        <v>14</v>
      </c>
      <c r="G22" s="116" t="s">
        <v>147</v>
      </c>
      <c r="H22" s="116" t="s">
        <v>148</v>
      </c>
    </row>
    <row r="23" spans="1:8" ht="24">
      <c r="A23" s="117" t="s">
        <v>149</v>
      </c>
      <c r="B23" s="117" t="s">
        <v>51</v>
      </c>
      <c r="C23" s="127" t="s">
        <v>159</v>
      </c>
      <c r="D23" s="118" t="s">
        <v>160</v>
      </c>
      <c r="E23" s="117" t="s">
        <v>161</v>
      </c>
      <c r="F23" s="128">
        <v>0.5</v>
      </c>
      <c r="G23" s="124">
        <v>213.5</v>
      </c>
      <c r="H23" s="120">
        <f>ROUND(F23*G23,2)</f>
        <v>106.75</v>
      </c>
    </row>
    <row r="24" spans="1:8" ht="24">
      <c r="A24" s="117" t="s">
        <v>149</v>
      </c>
      <c r="B24" s="117" t="s">
        <v>51</v>
      </c>
      <c r="C24" s="127" t="s">
        <v>162</v>
      </c>
      <c r="D24" s="118" t="s">
        <v>163</v>
      </c>
      <c r="E24" s="117" t="s">
        <v>161</v>
      </c>
      <c r="F24" s="128">
        <v>0.5</v>
      </c>
      <c r="G24" s="124">
        <v>251.03</v>
      </c>
      <c r="H24" s="120">
        <f>ROUND(F24*G24,2)</f>
        <v>125.52</v>
      </c>
    </row>
    <row r="25" spans="1:8" ht="36">
      <c r="A25" s="117" t="s">
        <v>149</v>
      </c>
      <c r="B25" s="117" t="s">
        <v>51</v>
      </c>
      <c r="C25" s="127">
        <v>5914640</v>
      </c>
      <c r="D25" s="118" t="s">
        <v>164</v>
      </c>
      <c r="E25" s="117" t="s">
        <v>165</v>
      </c>
      <c r="F25" s="128">
        <f>'Mobilização '!F26:G26</f>
        <v>157.5</v>
      </c>
      <c r="G25" s="124">
        <v>0.41</v>
      </c>
      <c r="H25" s="120">
        <f>ROUND(F25*G25,2)</f>
        <v>64.58</v>
      </c>
    </row>
    <row r="26" spans="1:8" ht="21.95" customHeight="1">
      <c r="A26" s="80"/>
      <c r="B26" s="81"/>
      <c r="C26" s="81"/>
      <c r="D26" s="81"/>
      <c r="E26" s="325" t="s">
        <v>154</v>
      </c>
      <c r="F26" s="326"/>
      <c r="G26" s="327"/>
      <c r="H26" s="121">
        <f>SUM(H23:H25)</f>
        <v>296.84999999999997</v>
      </c>
    </row>
    <row r="27" spans="1:8" ht="21.95" customHeight="1">
      <c r="A27" s="80"/>
      <c r="B27" s="81"/>
      <c r="C27" s="81"/>
      <c r="D27" s="81"/>
      <c r="E27" s="328">
        <f>H9</f>
        <v>0.2261</v>
      </c>
      <c r="F27" s="326"/>
      <c r="G27" s="327"/>
      <c r="H27" s="122">
        <f>ROUND((E27*H26),2)</f>
        <v>67.12</v>
      </c>
    </row>
    <row r="28" spans="1:8" ht="21.95" customHeight="1">
      <c r="A28" s="80"/>
      <c r="B28" s="81"/>
      <c r="C28" s="81"/>
      <c r="D28" s="81"/>
      <c r="E28" s="325" t="s">
        <v>156</v>
      </c>
      <c r="F28" s="326"/>
      <c r="G28" s="327"/>
      <c r="H28" s="126">
        <f>ROUND(SUM(H26:H27),2)</f>
        <v>363.97</v>
      </c>
    </row>
    <row r="29" spans="1:8" ht="35.25" customHeight="1">
      <c r="A29" s="114" t="s">
        <v>27</v>
      </c>
      <c r="B29" s="114" t="s">
        <v>18</v>
      </c>
      <c r="C29" s="114" t="s">
        <v>144</v>
      </c>
      <c r="D29" s="115" t="s">
        <v>166</v>
      </c>
      <c r="E29" s="114" t="s">
        <v>42</v>
      </c>
      <c r="F29" s="116" t="s">
        <v>14</v>
      </c>
      <c r="G29" s="116" t="s">
        <v>147</v>
      </c>
      <c r="H29" s="116" t="s">
        <v>148</v>
      </c>
    </row>
    <row r="30" spans="1:8">
      <c r="A30" s="117" t="s">
        <v>167</v>
      </c>
      <c r="B30" s="117" t="s">
        <v>40</v>
      </c>
      <c r="C30" s="117">
        <v>5075</v>
      </c>
      <c r="D30" s="118" t="s">
        <v>168</v>
      </c>
      <c r="E30" s="117" t="s">
        <v>169</v>
      </c>
      <c r="F30" s="128">
        <v>0.11</v>
      </c>
      <c r="G30" s="124">
        <v>19.73</v>
      </c>
      <c r="H30" s="120">
        <f t="shared" ref="H30:H39" si="0">ROUND(F30*G30,2)</f>
        <v>2.17</v>
      </c>
    </row>
    <row r="31" spans="1:8" ht="27" customHeight="1">
      <c r="A31" s="117" t="s">
        <v>167</v>
      </c>
      <c r="B31" s="117" t="s">
        <v>40</v>
      </c>
      <c r="C31" s="117">
        <v>4491</v>
      </c>
      <c r="D31" s="118" t="s">
        <v>170</v>
      </c>
      <c r="E31" s="117" t="s">
        <v>63</v>
      </c>
      <c r="F31" s="128">
        <v>4</v>
      </c>
      <c r="G31" s="124">
        <v>8.83</v>
      </c>
      <c r="H31" s="120">
        <f t="shared" si="0"/>
        <v>35.32</v>
      </c>
    </row>
    <row r="32" spans="1:8" ht="27" customHeight="1">
      <c r="A32" s="117" t="s">
        <v>167</v>
      </c>
      <c r="B32" s="117" t="s">
        <v>40</v>
      </c>
      <c r="C32" s="117">
        <v>4417</v>
      </c>
      <c r="D32" s="118" t="s">
        <v>171</v>
      </c>
      <c r="E32" s="117" t="s">
        <v>63</v>
      </c>
      <c r="F32" s="128">
        <v>1</v>
      </c>
      <c r="G32" s="124">
        <v>8.9499999999999993</v>
      </c>
      <c r="H32" s="120">
        <f t="shared" si="0"/>
        <v>8.9499999999999993</v>
      </c>
    </row>
    <row r="33" spans="1:8" ht="27" customHeight="1">
      <c r="A33" s="117" t="s">
        <v>167</v>
      </c>
      <c r="B33" s="117" t="s">
        <v>40</v>
      </c>
      <c r="C33" s="117">
        <v>4813</v>
      </c>
      <c r="D33" s="118" t="s">
        <v>172</v>
      </c>
      <c r="E33" s="117" t="s">
        <v>29</v>
      </c>
      <c r="F33" s="128">
        <v>1</v>
      </c>
      <c r="G33" s="124">
        <v>262.5</v>
      </c>
      <c r="H33" s="120">
        <f t="shared" si="0"/>
        <v>262.5</v>
      </c>
    </row>
    <row r="34" spans="1:8" ht="27" customHeight="1">
      <c r="A34" s="117" t="s">
        <v>167</v>
      </c>
      <c r="B34" s="117" t="s">
        <v>40</v>
      </c>
      <c r="C34" s="117">
        <v>370</v>
      </c>
      <c r="D34" s="118" t="s">
        <v>173</v>
      </c>
      <c r="E34" s="117" t="s">
        <v>53</v>
      </c>
      <c r="F34" s="128">
        <v>4.8999999999999998E-3</v>
      </c>
      <c r="G34" s="124">
        <v>100</v>
      </c>
      <c r="H34" s="120">
        <f t="shared" si="0"/>
        <v>0.49</v>
      </c>
    </row>
    <row r="35" spans="1:8" ht="27" customHeight="1">
      <c r="A35" s="117" t="s">
        <v>167</v>
      </c>
      <c r="B35" s="117" t="s">
        <v>40</v>
      </c>
      <c r="C35" s="117">
        <v>1379</v>
      </c>
      <c r="D35" s="118" t="s">
        <v>174</v>
      </c>
      <c r="E35" s="117" t="s">
        <v>169</v>
      </c>
      <c r="F35" s="128">
        <v>1.5</v>
      </c>
      <c r="G35" s="124">
        <v>0.75</v>
      </c>
      <c r="H35" s="120">
        <f t="shared" si="0"/>
        <v>1.1299999999999999</v>
      </c>
    </row>
    <row r="36" spans="1:8">
      <c r="A36" s="117" t="s">
        <v>167</v>
      </c>
      <c r="B36" s="117" t="s">
        <v>40</v>
      </c>
      <c r="C36" s="117">
        <v>4718</v>
      </c>
      <c r="D36" s="118" t="s">
        <v>175</v>
      </c>
      <c r="E36" s="117" t="s">
        <v>53</v>
      </c>
      <c r="F36" s="128">
        <v>9.7999999999999997E-3</v>
      </c>
      <c r="G36" s="450">
        <v>70.02</v>
      </c>
      <c r="H36" s="120">
        <f t="shared" si="0"/>
        <v>0.69</v>
      </c>
    </row>
    <row r="37" spans="1:8" ht="24">
      <c r="A37" s="117" t="s">
        <v>176</v>
      </c>
      <c r="B37" s="117" t="s">
        <v>40</v>
      </c>
      <c r="C37" s="117">
        <v>87445</v>
      </c>
      <c r="D37" s="118" t="s">
        <v>177</v>
      </c>
      <c r="E37" s="117" t="s">
        <v>178</v>
      </c>
      <c r="F37" s="128">
        <v>6.4999999999999997E-3</v>
      </c>
      <c r="G37" s="450">
        <v>4.51</v>
      </c>
      <c r="H37" s="120">
        <f t="shared" si="0"/>
        <v>0.03</v>
      </c>
    </row>
    <row r="38" spans="1:8" ht="27" customHeight="1">
      <c r="A38" s="117" t="s">
        <v>176</v>
      </c>
      <c r="B38" s="117" t="s">
        <v>40</v>
      </c>
      <c r="C38" s="117">
        <v>88262</v>
      </c>
      <c r="D38" s="118" t="s">
        <v>179</v>
      </c>
      <c r="E38" s="117" t="s">
        <v>178</v>
      </c>
      <c r="F38" s="128">
        <v>1</v>
      </c>
      <c r="G38" s="450">
        <v>26.39</v>
      </c>
      <c r="H38" s="120">
        <f t="shared" si="0"/>
        <v>26.39</v>
      </c>
    </row>
    <row r="39" spans="1:8" ht="27" customHeight="1">
      <c r="A39" s="117" t="s">
        <v>176</v>
      </c>
      <c r="B39" s="117" t="s">
        <v>40</v>
      </c>
      <c r="C39" s="117">
        <v>88316</v>
      </c>
      <c r="D39" s="118" t="s">
        <v>180</v>
      </c>
      <c r="E39" s="117" t="s">
        <v>178</v>
      </c>
      <c r="F39" s="128">
        <v>2.06</v>
      </c>
      <c r="G39" s="450">
        <v>18.79</v>
      </c>
      <c r="H39" s="120">
        <f t="shared" si="0"/>
        <v>38.71</v>
      </c>
    </row>
    <row r="40" spans="1:8" ht="21.95" customHeight="1">
      <c r="A40" s="80"/>
      <c r="B40" s="81"/>
      <c r="C40" s="81"/>
      <c r="D40" s="81"/>
      <c r="E40" s="325" t="s">
        <v>154</v>
      </c>
      <c r="F40" s="326"/>
      <c r="G40" s="327"/>
      <c r="H40" s="121">
        <f>SUM(H30:H39)</f>
        <v>376.37999999999994</v>
      </c>
    </row>
    <row r="41" spans="1:8" ht="21.95" customHeight="1">
      <c r="A41" s="80"/>
      <c r="B41" s="81"/>
      <c r="C41" s="81"/>
      <c r="D41" s="81"/>
      <c r="E41" s="328">
        <f>H9</f>
        <v>0.2261</v>
      </c>
      <c r="F41" s="326"/>
      <c r="G41" s="327"/>
      <c r="H41" s="122">
        <f>ROUND((E41*H40),2)</f>
        <v>85.1</v>
      </c>
    </row>
    <row r="42" spans="1:8" ht="21.95" customHeight="1">
      <c r="A42" s="129"/>
      <c r="B42" s="130"/>
      <c r="C42" s="130"/>
      <c r="D42" s="130"/>
      <c r="E42" s="325" t="s">
        <v>156</v>
      </c>
      <c r="F42" s="326"/>
      <c r="G42" s="327"/>
      <c r="H42" s="126">
        <f>ROUND(H40+H41,2)</f>
        <v>461.48</v>
      </c>
    </row>
    <row r="44" spans="1:8" ht="35.25" customHeight="1">
      <c r="A44" s="114" t="s">
        <v>31</v>
      </c>
      <c r="B44" s="114" t="s">
        <v>18</v>
      </c>
      <c r="C44" s="114" t="s">
        <v>144</v>
      </c>
      <c r="D44" s="115" t="s">
        <v>181</v>
      </c>
      <c r="E44" s="114" t="s">
        <v>42</v>
      </c>
      <c r="F44" s="116" t="s">
        <v>14</v>
      </c>
      <c r="G44" s="116" t="s">
        <v>147</v>
      </c>
      <c r="H44" s="116" t="s">
        <v>148</v>
      </c>
    </row>
    <row r="45" spans="1:8" ht="36">
      <c r="A45" s="117" t="s">
        <v>167</v>
      </c>
      <c r="B45" s="117" t="s">
        <v>40</v>
      </c>
      <c r="C45" s="117">
        <v>20206</v>
      </c>
      <c r="D45" s="118" t="s">
        <v>182</v>
      </c>
      <c r="E45" s="117" t="s">
        <v>63</v>
      </c>
      <c r="F45" s="131">
        <v>2.8860000000000001E-3</v>
      </c>
      <c r="G45" s="450">
        <v>11.31</v>
      </c>
      <c r="H45" s="120">
        <f t="shared" ref="H45:H50" si="1">ROUND(F45*G45,2)</f>
        <v>0.03</v>
      </c>
    </row>
    <row r="46" spans="1:8" ht="27" customHeight="1">
      <c r="A46" s="117" t="s">
        <v>176</v>
      </c>
      <c r="B46" s="117" t="s">
        <v>40</v>
      </c>
      <c r="C46" s="117">
        <v>88253</v>
      </c>
      <c r="D46" s="118" t="s">
        <v>183</v>
      </c>
      <c r="E46" s="117" t="s">
        <v>178</v>
      </c>
      <c r="F46" s="131">
        <v>2.5000000000000001E-3</v>
      </c>
      <c r="G46" s="450">
        <v>13.6</v>
      </c>
      <c r="H46" s="120">
        <f t="shared" si="1"/>
        <v>0.03</v>
      </c>
    </row>
    <row r="47" spans="1:8" ht="27" customHeight="1">
      <c r="A47" s="117" t="s">
        <v>176</v>
      </c>
      <c r="B47" s="117" t="s">
        <v>40</v>
      </c>
      <c r="C47" s="117">
        <v>88288</v>
      </c>
      <c r="D47" s="118" t="s">
        <v>184</v>
      </c>
      <c r="E47" s="117" t="s">
        <v>178</v>
      </c>
      <c r="F47" s="131">
        <v>2.5000000000000001E-3</v>
      </c>
      <c r="G47" s="450">
        <v>16.73</v>
      </c>
      <c r="H47" s="120">
        <f t="shared" si="1"/>
        <v>0.04</v>
      </c>
    </row>
    <row r="48" spans="1:8" ht="27" customHeight="1">
      <c r="A48" s="117" t="s">
        <v>176</v>
      </c>
      <c r="B48" s="117" t="s">
        <v>40</v>
      </c>
      <c r="C48" s="117">
        <v>88316</v>
      </c>
      <c r="D48" s="118" t="s">
        <v>180</v>
      </c>
      <c r="E48" s="117" t="s">
        <v>178</v>
      </c>
      <c r="F48" s="131">
        <v>7.4999999999999997E-3</v>
      </c>
      <c r="G48" s="450">
        <v>18.79</v>
      </c>
      <c r="H48" s="120">
        <f t="shared" si="1"/>
        <v>0.14000000000000001</v>
      </c>
    </row>
    <row r="49" spans="1:8" ht="27" customHeight="1">
      <c r="A49" s="117" t="s">
        <v>176</v>
      </c>
      <c r="B49" s="117" t="s">
        <v>40</v>
      </c>
      <c r="C49" s="117">
        <v>88597</v>
      </c>
      <c r="D49" s="118" t="s">
        <v>185</v>
      </c>
      <c r="E49" s="117" t="s">
        <v>178</v>
      </c>
      <c r="F49" s="131">
        <v>2E-3</v>
      </c>
      <c r="G49" s="450">
        <v>43.22</v>
      </c>
      <c r="H49" s="120">
        <f t="shared" si="1"/>
        <v>0.09</v>
      </c>
    </row>
    <row r="50" spans="1:8" ht="36">
      <c r="A50" s="117" t="s">
        <v>176</v>
      </c>
      <c r="B50" s="117" t="s">
        <v>40</v>
      </c>
      <c r="C50" s="117">
        <v>92145</v>
      </c>
      <c r="D50" s="118" t="s">
        <v>186</v>
      </c>
      <c r="E50" s="117" t="s">
        <v>187</v>
      </c>
      <c r="F50" s="131">
        <v>1E-3</v>
      </c>
      <c r="G50" s="124">
        <v>78.27</v>
      </c>
      <c r="H50" s="120">
        <f t="shared" si="1"/>
        <v>0.08</v>
      </c>
    </row>
    <row r="51" spans="1:8" ht="21.95" customHeight="1">
      <c r="A51" s="80"/>
      <c r="B51" s="81"/>
      <c r="C51" s="81"/>
      <c r="D51" s="81"/>
      <c r="E51" s="325" t="s">
        <v>154</v>
      </c>
      <c r="F51" s="326"/>
      <c r="G51" s="327"/>
      <c r="H51" s="121">
        <f>SUM(H45:H50)</f>
        <v>0.41000000000000003</v>
      </c>
    </row>
    <row r="52" spans="1:8" ht="21.95" customHeight="1">
      <c r="A52" s="80"/>
      <c r="B52" s="81"/>
      <c r="C52" s="81"/>
      <c r="D52" s="81"/>
      <c r="E52" s="328">
        <f>H9</f>
        <v>0.2261</v>
      </c>
      <c r="F52" s="326"/>
      <c r="G52" s="327"/>
      <c r="H52" s="122">
        <f>ROUND((E52*H51),2)</f>
        <v>0.09</v>
      </c>
    </row>
    <row r="53" spans="1:8" ht="21.95" customHeight="1">
      <c r="A53" s="129"/>
      <c r="B53" s="130"/>
      <c r="C53" s="130"/>
      <c r="D53" s="130"/>
      <c r="E53" s="325" t="s">
        <v>156</v>
      </c>
      <c r="F53" s="326"/>
      <c r="G53" s="327"/>
      <c r="H53" s="126">
        <f>ROUND(H51+H52,2)</f>
        <v>0.5</v>
      </c>
    </row>
  </sheetData>
  <mergeCells count="23">
    <mergeCell ref="D1:H1"/>
    <mergeCell ref="D2:H2"/>
    <mergeCell ref="D3:H3"/>
    <mergeCell ref="A5:H5"/>
    <mergeCell ref="A7:H7"/>
    <mergeCell ref="F9:G9"/>
    <mergeCell ref="F10:G10"/>
    <mergeCell ref="B11:D11"/>
    <mergeCell ref="F11:H11"/>
    <mergeCell ref="E16:G16"/>
    <mergeCell ref="E17:G17"/>
    <mergeCell ref="E18:G18"/>
    <mergeCell ref="E19:G19"/>
    <mergeCell ref="E20:G20"/>
    <mergeCell ref="E42:G42"/>
    <mergeCell ref="E51:G51"/>
    <mergeCell ref="E52:G52"/>
    <mergeCell ref="E53:G53"/>
    <mergeCell ref="E26:G26"/>
    <mergeCell ref="E27:G27"/>
    <mergeCell ref="E28:G28"/>
    <mergeCell ref="E40:G40"/>
    <mergeCell ref="E41:G41"/>
  </mergeCells>
  <pageMargins left="0.511811024" right="0.511811024" top="0.78740157499999996" bottom="0.78740157499999996" header="0.31496062000000002" footer="0.31496062000000002"/>
  <pageSetup paperSize="9" scale="5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opLeftCell="A28" workbookViewId="0">
      <selection activeCell="E17" sqref="E17"/>
    </sheetView>
  </sheetViews>
  <sheetFormatPr defaultColWidth="9" defaultRowHeight="12.75"/>
  <cols>
    <col min="1" max="1" width="12.85546875" bestFit="1" customWidth="1"/>
    <col min="2" max="2" width="9.85546875" bestFit="1" customWidth="1"/>
    <col min="3" max="3" width="6.5703125" bestFit="1" customWidth="1"/>
    <col min="4" max="4" width="66.85546875" customWidth="1"/>
    <col min="5" max="5" width="7.140625" bestFit="1" customWidth="1"/>
    <col min="6" max="6" width="8.28515625" bestFit="1" customWidth="1"/>
    <col min="7" max="7" width="19" bestFit="1" customWidth="1"/>
    <col min="8" max="8" width="11.5703125" customWidth="1"/>
    <col min="12" max="12" width="12.85546875"/>
  </cols>
  <sheetData>
    <row r="1" spans="1:8">
      <c r="A1" s="78"/>
      <c r="B1" s="79"/>
      <c r="C1" s="451" t="s">
        <v>188</v>
      </c>
      <c r="D1" s="452"/>
      <c r="E1" s="452"/>
      <c r="F1" s="452"/>
      <c r="G1" s="170"/>
    </row>
    <row r="2" spans="1:8">
      <c r="A2" s="80"/>
      <c r="B2" s="81"/>
      <c r="C2" s="453" t="s">
        <v>189</v>
      </c>
      <c r="D2" s="143"/>
      <c r="E2" s="143"/>
      <c r="F2" s="143"/>
      <c r="G2" s="175"/>
    </row>
    <row r="3" spans="1:8">
      <c r="A3" s="80"/>
      <c r="B3" s="81"/>
      <c r="C3" s="453" t="s">
        <v>190</v>
      </c>
      <c r="D3" s="143"/>
      <c r="E3" s="143"/>
      <c r="F3" s="143"/>
      <c r="G3" s="175"/>
    </row>
    <row r="4" spans="1:8">
      <c r="A4" s="80"/>
      <c r="B4" s="81"/>
      <c r="C4" s="81"/>
      <c r="D4" s="81"/>
      <c r="E4" s="81"/>
      <c r="F4" s="81"/>
      <c r="G4" s="82"/>
    </row>
    <row r="5" spans="1:8" ht="15.75">
      <c r="A5" s="342" t="s">
        <v>357</v>
      </c>
      <c r="B5" s="343"/>
      <c r="C5" s="343"/>
      <c r="D5" s="343"/>
      <c r="E5" s="343"/>
      <c r="F5" s="343"/>
      <c r="G5" s="343"/>
      <c r="H5" s="343"/>
    </row>
    <row r="6" spans="1:8" ht="15.75">
      <c r="A6" s="83"/>
      <c r="B6" s="84"/>
      <c r="C6" s="84"/>
      <c r="D6" s="84"/>
      <c r="E6" s="84"/>
      <c r="F6" s="84"/>
      <c r="G6" s="85"/>
    </row>
    <row r="7" spans="1:8" ht="36" customHeight="1">
      <c r="A7" s="345" t="str">
        <f>'Planilha - CICLOVIA'!A5:I5</f>
        <v>EXECUÇÃO DE OBRAS/SERVIÇOS OBJETIVANDO A IMPLANTAÇÃO DE CICLOVIA EM TRECHO DA RODOVIA BA 800, QUE LIGA IRECÊ AO DISTRITO DE MEIA-HORA, NO MUNICÍPIO DE IRECÊ/BA, NA ÁREA DE ATUAÇÃO DA 2ª SUPERINTENDÊNCIA REGIONAL DA CODEVASF, NO ESTADO DA BAHIA</v>
      </c>
      <c r="B7" s="291"/>
      <c r="C7" s="291"/>
      <c r="D7" s="291"/>
      <c r="E7" s="291"/>
      <c r="F7" s="291"/>
      <c r="G7" s="291"/>
      <c r="H7" s="291"/>
    </row>
    <row r="8" spans="1:8" ht="15.75">
      <c r="A8" s="83"/>
      <c r="B8" s="84"/>
      <c r="C8" s="84"/>
      <c r="D8" s="84"/>
      <c r="E8" s="84"/>
      <c r="F8" s="84"/>
      <c r="G8" s="85"/>
    </row>
    <row r="9" spans="1:8" ht="21.95" customHeight="1">
      <c r="A9" s="80"/>
      <c r="B9" s="81"/>
      <c r="C9" s="81"/>
      <c r="D9" s="81"/>
      <c r="E9" s="454" t="s">
        <v>141</v>
      </c>
      <c r="F9" s="454"/>
      <c r="G9" s="454"/>
      <c r="H9" s="87">
        <f>BDI!D36</f>
        <v>0.2261</v>
      </c>
    </row>
    <row r="10" spans="1:8" ht="21.95" customHeight="1">
      <c r="A10" s="80"/>
      <c r="B10" s="81"/>
      <c r="C10" s="81"/>
      <c r="D10" s="81"/>
      <c r="E10" s="454" t="s">
        <v>142</v>
      </c>
      <c r="F10" s="454"/>
      <c r="G10" s="454"/>
      <c r="H10" s="87">
        <f>'ENCARGOS SOCIAIS'!F52</f>
        <v>1.1446999999999998</v>
      </c>
    </row>
    <row r="11" spans="1:8" ht="21.95" customHeight="1">
      <c r="A11" s="88" t="s">
        <v>6</v>
      </c>
      <c r="B11" s="286" t="s">
        <v>7</v>
      </c>
      <c r="C11" s="286"/>
      <c r="D11" s="286"/>
      <c r="E11" s="455" t="s">
        <v>191</v>
      </c>
      <c r="F11" s="455"/>
      <c r="G11" s="455"/>
      <c r="H11" s="456"/>
    </row>
    <row r="12" spans="1:8" ht="15" customHeight="1">
      <c r="A12" s="80"/>
      <c r="B12" s="81"/>
      <c r="C12" s="81"/>
      <c r="D12" s="81"/>
      <c r="E12" s="81"/>
      <c r="F12" s="81"/>
      <c r="G12" s="82"/>
    </row>
    <row r="14" spans="1:8">
      <c r="A14" s="357" t="s">
        <v>72</v>
      </c>
      <c r="B14" s="351" t="s">
        <v>18</v>
      </c>
      <c r="C14" s="351" t="s">
        <v>192</v>
      </c>
      <c r="D14" s="349" t="s">
        <v>193</v>
      </c>
      <c r="E14" s="351" t="s">
        <v>194</v>
      </c>
      <c r="F14" s="347" t="s">
        <v>195</v>
      </c>
      <c r="G14" s="347" t="s">
        <v>196</v>
      </c>
      <c r="H14" s="347" t="s">
        <v>148</v>
      </c>
    </row>
    <row r="15" spans="1:8" ht="24" customHeight="1">
      <c r="A15" s="358"/>
      <c r="B15" s="352"/>
      <c r="C15" s="352"/>
      <c r="D15" s="350"/>
      <c r="E15" s="352"/>
      <c r="F15" s="348"/>
      <c r="G15" s="348"/>
      <c r="H15" s="348"/>
    </row>
    <row r="16" spans="1:8" ht="22.5">
      <c r="A16" s="89" t="s">
        <v>167</v>
      </c>
      <c r="B16" s="90" t="s">
        <v>40</v>
      </c>
      <c r="C16" s="90">
        <v>370</v>
      </c>
      <c r="D16" s="91" t="s">
        <v>197</v>
      </c>
      <c r="E16" s="90" t="s">
        <v>198</v>
      </c>
      <c r="F16" s="92" t="s">
        <v>199</v>
      </c>
      <c r="G16" s="92">
        <v>100</v>
      </c>
      <c r="H16" s="93">
        <f>F16*G16</f>
        <v>5.6800000000000006</v>
      </c>
    </row>
    <row r="17" spans="1:8" ht="33.75">
      <c r="A17" s="89" t="s">
        <v>167</v>
      </c>
      <c r="B17" s="90" t="s">
        <v>40</v>
      </c>
      <c r="C17" s="90">
        <v>36156</v>
      </c>
      <c r="D17" s="91" t="s">
        <v>200</v>
      </c>
      <c r="E17" s="90" t="s">
        <v>42</v>
      </c>
      <c r="F17" s="92">
        <v>1.0487</v>
      </c>
      <c r="G17" s="92">
        <v>44.01</v>
      </c>
      <c r="H17" s="93">
        <f t="shared" ref="H17:H23" si="0">F17*G17</f>
        <v>46.153286999999999</v>
      </c>
    </row>
    <row r="18" spans="1:8">
      <c r="A18" s="89" t="s">
        <v>167</v>
      </c>
      <c r="B18" s="90" t="s">
        <v>40</v>
      </c>
      <c r="C18" s="90">
        <v>4741</v>
      </c>
      <c r="D18" s="91" t="s">
        <v>201</v>
      </c>
      <c r="E18" s="90" t="s">
        <v>198</v>
      </c>
      <c r="F18" s="92">
        <v>6.4999999999999997E-3</v>
      </c>
      <c r="G18" s="92">
        <v>65.790000000000006</v>
      </c>
      <c r="H18" s="93">
        <f t="shared" si="0"/>
        <v>0.42763500000000004</v>
      </c>
    </row>
    <row r="19" spans="1:8">
      <c r="A19" s="94" t="s">
        <v>176</v>
      </c>
      <c r="B19" s="90" t="s">
        <v>40</v>
      </c>
      <c r="C19" s="90">
        <v>88260</v>
      </c>
      <c r="D19" s="91" t="s">
        <v>202</v>
      </c>
      <c r="E19" s="90" t="s">
        <v>153</v>
      </c>
      <c r="F19" s="92">
        <v>0.39750000000000002</v>
      </c>
      <c r="G19" s="92">
        <v>27.29</v>
      </c>
      <c r="H19" s="93">
        <f t="shared" si="0"/>
        <v>10.847775</v>
      </c>
    </row>
    <row r="20" spans="1:8">
      <c r="A20" s="94" t="s">
        <v>176</v>
      </c>
      <c r="B20" s="90" t="s">
        <v>40</v>
      </c>
      <c r="C20" s="90">
        <v>88316</v>
      </c>
      <c r="D20" s="91" t="s">
        <v>180</v>
      </c>
      <c r="E20" s="90" t="s">
        <v>153</v>
      </c>
      <c r="F20" s="92">
        <v>0.39750000000000002</v>
      </c>
      <c r="G20" s="92">
        <v>18.79</v>
      </c>
      <c r="H20" s="93">
        <f t="shared" si="0"/>
        <v>7.4690250000000002</v>
      </c>
    </row>
    <row r="21" spans="1:8" ht="22.5">
      <c r="A21" s="94" t="s">
        <v>176</v>
      </c>
      <c r="B21" s="90" t="s">
        <v>34</v>
      </c>
      <c r="C21" s="90">
        <v>11450</v>
      </c>
      <c r="D21" s="91" t="s">
        <v>203</v>
      </c>
      <c r="E21" s="90" t="s">
        <v>204</v>
      </c>
      <c r="F21" s="92">
        <v>1</v>
      </c>
      <c r="G21" s="92">
        <v>1.77</v>
      </c>
      <c r="H21" s="93">
        <f t="shared" si="0"/>
        <v>1.77</v>
      </c>
    </row>
    <row r="22" spans="1:8" ht="33.75">
      <c r="A22" s="94" t="s">
        <v>176</v>
      </c>
      <c r="B22" s="90" t="s">
        <v>40</v>
      </c>
      <c r="C22" s="90" t="s">
        <v>205</v>
      </c>
      <c r="D22" s="91" t="s">
        <v>206</v>
      </c>
      <c r="E22" s="90" t="s">
        <v>161</v>
      </c>
      <c r="F22" s="92">
        <v>4.8300000000000003E-2</v>
      </c>
      <c r="G22" s="92">
        <v>23.12</v>
      </c>
      <c r="H22" s="93">
        <f t="shared" si="0"/>
        <v>1.1166960000000001</v>
      </c>
    </row>
    <row r="23" spans="1:8" ht="33.75">
      <c r="A23" s="94" t="s">
        <v>176</v>
      </c>
      <c r="B23" s="90" t="s">
        <v>40</v>
      </c>
      <c r="C23" s="90">
        <v>91285</v>
      </c>
      <c r="D23" s="91" t="s">
        <v>206</v>
      </c>
      <c r="E23" s="90" t="s">
        <v>207</v>
      </c>
      <c r="F23" s="92">
        <v>0.15040000000000001</v>
      </c>
      <c r="G23" s="92">
        <v>0.84</v>
      </c>
      <c r="H23" s="93">
        <f t="shared" si="0"/>
        <v>0.126336</v>
      </c>
    </row>
    <row r="24" spans="1:8">
      <c r="A24" s="95"/>
      <c r="B24" s="96"/>
      <c r="C24" s="96"/>
      <c r="D24" s="96"/>
      <c r="E24" s="355" t="s">
        <v>154</v>
      </c>
      <c r="F24" s="355"/>
      <c r="G24" s="356"/>
      <c r="H24" s="97">
        <f>SUM(H16:H23)</f>
        <v>73.59075399999999</v>
      </c>
    </row>
    <row r="25" spans="1:8">
      <c r="A25" s="98"/>
      <c r="B25" s="99"/>
      <c r="C25" s="99"/>
      <c r="D25" s="99"/>
      <c r="E25" s="100"/>
      <c r="F25" s="101" t="s">
        <v>208</v>
      </c>
      <c r="G25" s="102">
        <f>$H$9</f>
        <v>0.2261</v>
      </c>
      <c r="H25" s="103">
        <f>ROUND(H24*$H$9,2)</f>
        <v>16.64</v>
      </c>
    </row>
    <row r="26" spans="1:8">
      <c r="A26" s="104"/>
      <c r="B26" s="105"/>
      <c r="C26" s="105"/>
      <c r="D26" s="105"/>
      <c r="E26" s="106"/>
      <c r="F26" s="106"/>
      <c r="G26" s="107" t="s">
        <v>209</v>
      </c>
      <c r="H26" s="108">
        <f>H24+H25</f>
        <v>90.23075399999999</v>
      </c>
    </row>
    <row r="27" spans="1:8">
      <c r="A27" s="109"/>
      <c r="B27" s="110"/>
      <c r="C27" s="110"/>
      <c r="D27" s="110"/>
      <c r="E27" s="111" t="str">
        <f>A14</f>
        <v>CPU-06</v>
      </c>
      <c r="F27" s="353" t="s">
        <v>156</v>
      </c>
      <c r="G27" s="354"/>
      <c r="H27" s="112">
        <f>H26</f>
        <v>90.23075399999999</v>
      </c>
    </row>
    <row r="30" spans="1:8">
      <c r="A30" s="357" t="s">
        <v>78</v>
      </c>
      <c r="B30" s="351" t="s">
        <v>18</v>
      </c>
      <c r="C30" s="351"/>
      <c r="D30" s="349" t="s">
        <v>210</v>
      </c>
      <c r="E30" s="351" t="s">
        <v>194</v>
      </c>
      <c r="F30" s="347" t="s">
        <v>195</v>
      </c>
      <c r="G30" s="347" t="s">
        <v>196</v>
      </c>
      <c r="H30" s="347" t="s">
        <v>148</v>
      </c>
    </row>
    <row r="31" spans="1:8">
      <c r="A31" s="358"/>
      <c r="B31" s="352"/>
      <c r="C31" s="352"/>
      <c r="D31" s="350" t="s">
        <v>211</v>
      </c>
      <c r="E31" s="352"/>
      <c r="F31" s="348"/>
      <c r="G31" s="348"/>
      <c r="H31" s="348"/>
    </row>
    <row r="32" spans="1:8">
      <c r="A32" s="89" t="s">
        <v>176</v>
      </c>
      <c r="B32" s="90" t="s">
        <v>212</v>
      </c>
      <c r="C32" s="90">
        <v>88262</v>
      </c>
      <c r="D32" s="91" t="s">
        <v>179</v>
      </c>
      <c r="E32" s="90" t="s">
        <v>153</v>
      </c>
      <c r="F32" s="92">
        <v>2.3199999999999998</v>
      </c>
      <c r="G32" s="92">
        <v>26.39</v>
      </c>
      <c r="H32" s="93">
        <f t="shared" ref="H32:H35" si="1">F32*G32</f>
        <v>61.224799999999995</v>
      </c>
    </row>
    <row r="33" spans="1:8" ht="22.5">
      <c r="A33" s="89" t="s">
        <v>167</v>
      </c>
      <c r="B33" s="90" t="s">
        <v>212</v>
      </c>
      <c r="C33" s="90">
        <v>4460</v>
      </c>
      <c r="D33" s="91" t="s">
        <v>213</v>
      </c>
      <c r="E33" s="90" t="s">
        <v>214</v>
      </c>
      <c r="F33" s="92">
        <v>2.5</v>
      </c>
      <c r="G33" s="92">
        <v>11.61</v>
      </c>
      <c r="H33" s="93">
        <f t="shared" si="1"/>
        <v>29.024999999999999</v>
      </c>
    </row>
    <row r="34" spans="1:8">
      <c r="A34" s="89" t="s">
        <v>167</v>
      </c>
      <c r="B34" s="90" t="s">
        <v>212</v>
      </c>
      <c r="C34" s="90">
        <v>4517</v>
      </c>
      <c r="D34" s="91" t="s">
        <v>215</v>
      </c>
      <c r="E34" s="90" t="s">
        <v>214</v>
      </c>
      <c r="F34" s="92">
        <v>2</v>
      </c>
      <c r="G34" s="92">
        <v>3.09</v>
      </c>
      <c r="H34" s="93">
        <f t="shared" si="1"/>
        <v>6.18</v>
      </c>
    </row>
    <row r="35" spans="1:8" ht="22.5">
      <c r="A35" s="89" t="s">
        <v>176</v>
      </c>
      <c r="B35" s="90" t="s">
        <v>212</v>
      </c>
      <c r="C35" s="90">
        <v>94964</v>
      </c>
      <c r="D35" s="91" t="s">
        <v>216</v>
      </c>
      <c r="E35" s="90" t="s">
        <v>66</v>
      </c>
      <c r="F35" s="92">
        <v>1.19</v>
      </c>
      <c r="G35" s="92">
        <v>449.17</v>
      </c>
      <c r="H35" s="93">
        <f t="shared" si="1"/>
        <v>534.51229999999998</v>
      </c>
    </row>
    <row r="36" spans="1:8">
      <c r="A36" s="95"/>
      <c r="B36" s="96"/>
      <c r="C36" s="96"/>
      <c r="D36" s="96"/>
      <c r="E36" s="355" t="s">
        <v>154</v>
      </c>
      <c r="F36" s="355"/>
      <c r="G36" s="356"/>
      <c r="H36" s="97">
        <f>SUM(H32:H35)</f>
        <v>630.94209999999998</v>
      </c>
    </row>
    <row r="37" spans="1:8">
      <c r="A37" s="98"/>
      <c r="B37" s="99"/>
      <c r="C37" s="99"/>
      <c r="D37" s="99"/>
      <c r="E37" s="100"/>
      <c r="F37" s="101" t="s">
        <v>208</v>
      </c>
      <c r="G37" s="102">
        <f>$H$9</f>
        <v>0.2261</v>
      </c>
      <c r="H37" s="103">
        <f>ROUND(H36*$H$9,2)</f>
        <v>142.66</v>
      </c>
    </row>
    <row r="38" spans="1:8">
      <c r="A38" s="104"/>
      <c r="B38" s="105"/>
      <c r="C38" s="105"/>
      <c r="D38" s="105"/>
      <c r="E38" s="106"/>
      <c r="F38" s="106"/>
      <c r="G38" s="107" t="s">
        <v>209</v>
      </c>
      <c r="H38" s="108">
        <f>H36+H37</f>
        <v>773.60209999999995</v>
      </c>
    </row>
    <row r="39" spans="1:8">
      <c r="A39" s="109"/>
      <c r="B39" s="110"/>
      <c r="C39" s="110"/>
      <c r="D39" s="110"/>
      <c r="E39" s="111" t="str">
        <f>A30</f>
        <v>CPU-14</v>
      </c>
      <c r="F39" s="353" t="s">
        <v>156</v>
      </c>
      <c r="G39" s="354"/>
      <c r="H39" s="112">
        <f>H38</f>
        <v>773.60209999999995</v>
      </c>
    </row>
    <row r="40" spans="1:8" ht="15.75" customHeight="1"/>
    <row r="42" spans="1:8">
      <c r="A42" s="357" t="s">
        <v>44</v>
      </c>
      <c r="B42" s="351" t="s">
        <v>18</v>
      </c>
      <c r="C42" s="351" t="s">
        <v>192</v>
      </c>
      <c r="D42" s="349" t="s">
        <v>217</v>
      </c>
      <c r="E42" s="351" t="s">
        <v>194</v>
      </c>
      <c r="F42" s="347" t="s">
        <v>195</v>
      </c>
      <c r="G42" s="347" t="s">
        <v>196</v>
      </c>
      <c r="H42" s="347" t="s">
        <v>148</v>
      </c>
    </row>
    <row r="43" spans="1:8" ht="24" customHeight="1">
      <c r="A43" s="358"/>
      <c r="B43" s="352"/>
      <c r="C43" s="352"/>
      <c r="D43" s="350"/>
      <c r="E43" s="352"/>
      <c r="F43" s="348"/>
      <c r="G43" s="348"/>
      <c r="H43" s="348"/>
    </row>
    <row r="44" spans="1:8">
      <c r="A44" s="89" t="s">
        <v>149</v>
      </c>
      <c r="B44" s="90" t="s">
        <v>51</v>
      </c>
      <c r="C44" s="90" t="s">
        <v>218</v>
      </c>
      <c r="D44" s="113" t="s">
        <v>219</v>
      </c>
      <c r="E44" s="90" t="s">
        <v>161</v>
      </c>
      <c r="F44" s="92">
        <v>1E-3</v>
      </c>
      <c r="G44" s="92">
        <v>195.57</v>
      </c>
      <c r="H44" s="93">
        <f>F44*G44</f>
        <v>0.19556999999999999</v>
      </c>
    </row>
    <row r="45" spans="1:8">
      <c r="A45" s="89" t="s">
        <v>149</v>
      </c>
      <c r="B45" s="90" t="s">
        <v>51</v>
      </c>
      <c r="C45" s="90" t="s">
        <v>218</v>
      </c>
      <c r="D45" s="113" t="s">
        <v>219</v>
      </c>
      <c r="E45" s="90" t="s">
        <v>207</v>
      </c>
      <c r="F45" s="92">
        <v>7.0000000000000001E-3</v>
      </c>
      <c r="G45" s="92">
        <v>58.7</v>
      </c>
      <c r="H45" s="93">
        <f t="shared" ref="H45:H50" si="2">F45*G45</f>
        <v>0.41090000000000004</v>
      </c>
    </row>
    <row r="46" spans="1:8" ht="22.5">
      <c r="A46" s="89" t="s">
        <v>149</v>
      </c>
      <c r="B46" s="90" t="s">
        <v>40</v>
      </c>
      <c r="C46" s="90">
        <v>5932</v>
      </c>
      <c r="D46" s="91" t="s">
        <v>220</v>
      </c>
      <c r="E46" s="90" t="s">
        <v>161</v>
      </c>
      <c r="F46" s="92">
        <v>1E-4</v>
      </c>
      <c r="G46" s="92">
        <v>237.15</v>
      </c>
      <c r="H46" s="93">
        <f t="shared" si="2"/>
        <v>2.3715000000000003E-2</v>
      </c>
    </row>
    <row r="47" spans="1:8" ht="22.5">
      <c r="A47" s="94" t="s">
        <v>149</v>
      </c>
      <c r="B47" s="90" t="s">
        <v>40</v>
      </c>
      <c r="C47" s="90">
        <v>5934</v>
      </c>
      <c r="D47" s="91" t="s">
        <v>221</v>
      </c>
      <c r="E47" s="90" t="s">
        <v>207</v>
      </c>
      <c r="F47" s="92">
        <v>8.0000000000000002E-3</v>
      </c>
      <c r="G47" s="92">
        <v>91.45</v>
      </c>
      <c r="H47" s="93">
        <f t="shared" si="2"/>
        <v>0.73160000000000003</v>
      </c>
    </row>
    <row r="48" spans="1:8" ht="22.5">
      <c r="A48" s="94" t="s">
        <v>149</v>
      </c>
      <c r="B48" s="90" t="s">
        <v>51</v>
      </c>
      <c r="C48" s="90" t="s">
        <v>222</v>
      </c>
      <c r="D48" s="113" t="s">
        <v>223</v>
      </c>
      <c r="E48" s="90" t="s">
        <v>161</v>
      </c>
      <c r="F48" s="92">
        <v>2E-3</v>
      </c>
      <c r="G48" s="92">
        <v>162.12</v>
      </c>
      <c r="H48" s="93">
        <f t="shared" si="2"/>
        <v>0.32424000000000003</v>
      </c>
    </row>
    <row r="49" spans="1:8">
      <c r="A49" s="94" t="s">
        <v>149</v>
      </c>
      <c r="B49" s="90" t="s">
        <v>40</v>
      </c>
      <c r="C49" s="90">
        <v>88316</v>
      </c>
      <c r="D49" s="91" t="s">
        <v>180</v>
      </c>
      <c r="E49" s="90" t="s">
        <v>153</v>
      </c>
      <c r="F49" s="92">
        <v>8.0000000000000002E-3</v>
      </c>
      <c r="G49" s="92">
        <v>18.79</v>
      </c>
      <c r="H49" s="93">
        <f t="shared" si="2"/>
        <v>0.15032000000000001</v>
      </c>
    </row>
    <row r="50" spans="1:8" ht="22.5">
      <c r="A50" s="94" t="s">
        <v>149</v>
      </c>
      <c r="B50" s="90" t="s">
        <v>40</v>
      </c>
      <c r="C50" s="90">
        <v>93244</v>
      </c>
      <c r="D50" s="91" t="s">
        <v>224</v>
      </c>
      <c r="E50" s="90" t="s">
        <v>207</v>
      </c>
      <c r="F50" s="92">
        <v>6.0000000000000001E-3</v>
      </c>
      <c r="G50" s="92">
        <v>73.78</v>
      </c>
      <c r="H50" s="93">
        <f t="shared" si="2"/>
        <v>0.44268000000000002</v>
      </c>
    </row>
    <row r="51" spans="1:8">
      <c r="A51" s="95"/>
      <c r="B51" s="96"/>
      <c r="C51" s="96"/>
      <c r="D51" s="96"/>
      <c r="E51" s="355" t="s">
        <v>154</v>
      </c>
      <c r="F51" s="355"/>
      <c r="G51" s="356"/>
      <c r="H51" s="97">
        <f>SUM(H44:H50)</f>
        <v>2.2790250000000003</v>
      </c>
    </row>
    <row r="52" spans="1:8">
      <c r="A52" s="98"/>
      <c r="B52" s="99"/>
      <c r="C52" s="99"/>
      <c r="D52" s="99"/>
      <c r="E52" s="100"/>
      <c r="F52" s="101" t="s">
        <v>208</v>
      </c>
      <c r="G52" s="102">
        <f>$H$9</f>
        <v>0.2261</v>
      </c>
      <c r="H52" s="103">
        <f>ROUND(H51*$H$9,2)</f>
        <v>0.52</v>
      </c>
    </row>
    <row r="53" spans="1:8">
      <c r="A53" s="104"/>
      <c r="B53" s="105"/>
      <c r="C53" s="105"/>
      <c r="D53" s="105"/>
      <c r="E53" s="106"/>
      <c r="F53" s="106"/>
      <c r="G53" s="107" t="s">
        <v>209</v>
      </c>
      <c r="H53" s="108">
        <f>H51+H52</f>
        <v>2.7990250000000003</v>
      </c>
    </row>
    <row r="54" spans="1:8">
      <c r="A54" s="109"/>
      <c r="B54" s="110"/>
      <c r="C54" s="110"/>
      <c r="D54" s="110"/>
      <c r="E54" s="111" t="str">
        <f>A42</f>
        <v>CPU-28</v>
      </c>
      <c r="F54" s="353" t="s">
        <v>156</v>
      </c>
      <c r="G54" s="354"/>
      <c r="H54" s="112">
        <f>H53</f>
        <v>2.7990250000000003</v>
      </c>
    </row>
    <row r="56" spans="1:8">
      <c r="A56" s="357" t="s">
        <v>225</v>
      </c>
      <c r="B56" s="351" t="s">
        <v>18</v>
      </c>
      <c r="C56" s="351" t="s">
        <v>192</v>
      </c>
      <c r="D56" s="349" t="s">
        <v>226</v>
      </c>
      <c r="E56" s="351" t="s">
        <v>194</v>
      </c>
      <c r="F56" s="347" t="s">
        <v>195</v>
      </c>
      <c r="G56" s="347" t="s">
        <v>196</v>
      </c>
      <c r="H56" s="347" t="s">
        <v>148</v>
      </c>
    </row>
    <row r="57" spans="1:8">
      <c r="A57" s="358"/>
      <c r="B57" s="352"/>
      <c r="C57" s="352"/>
      <c r="D57" s="350"/>
      <c r="E57" s="352"/>
      <c r="F57" s="348"/>
      <c r="G57" s="348"/>
      <c r="H57" s="348"/>
    </row>
    <row r="58" spans="1:8">
      <c r="A58" s="94" t="s">
        <v>176</v>
      </c>
      <c r="B58" s="90" t="s">
        <v>212</v>
      </c>
      <c r="C58" s="90">
        <v>93358</v>
      </c>
      <c r="D58" s="91" t="s">
        <v>227</v>
      </c>
      <c r="E58" s="90" t="s">
        <v>66</v>
      </c>
      <c r="F58" s="92">
        <v>0.2</v>
      </c>
      <c r="G58" s="92">
        <v>74.33</v>
      </c>
      <c r="H58" s="93">
        <f>F58*G58</f>
        <v>14.866</v>
      </c>
    </row>
    <row r="59" spans="1:8" ht="22.5">
      <c r="A59" s="94" t="s">
        <v>176</v>
      </c>
      <c r="B59" s="90" t="s">
        <v>212</v>
      </c>
      <c r="C59" s="90">
        <v>94964</v>
      </c>
      <c r="D59" s="91" t="s">
        <v>216</v>
      </c>
      <c r="E59" s="90" t="s">
        <v>66</v>
      </c>
      <c r="F59" s="92">
        <v>0.2</v>
      </c>
      <c r="G59" s="92">
        <v>449.17</v>
      </c>
      <c r="H59" s="93">
        <f t="shared" ref="H59:H66" si="3">F59*G59</f>
        <v>89.834000000000003</v>
      </c>
    </row>
    <row r="60" spans="1:8">
      <c r="A60" s="89" t="s">
        <v>167</v>
      </c>
      <c r="B60" s="90" t="s">
        <v>40</v>
      </c>
      <c r="C60" s="90">
        <v>863</v>
      </c>
      <c r="D60" s="91" t="s">
        <v>228</v>
      </c>
      <c r="E60" s="90" t="s">
        <v>214</v>
      </c>
      <c r="F60" s="92">
        <v>9</v>
      </c>
      <c r="G60" s="92">
        <v>39</v>
      </c>
      <c r="H60" s="93">
        <f t="shared" si="3"/>
        <v>351</v>
      </c>
    </row>
    <row r="61" spans="1:8" ht="22.5">
      <c r="A61" s="89" t="s">
        <v>167</v>
      </c>
      <c r="B61" s="90" t="s">
        <v>34</v>
      </c>
      <c r="C61" s="90">
        <v>6828</v>
      </c>
      <c r="D61" s="91" t="s">
        <v>229</v>
      </c>
      <c r="E61" s="90" t="s">
        <v>13</v>
      </c>
      <c r="F61" s="92">
        <v>1</v>
      </c>
      <c r="G61" s="92">
        <v>2679.51</v>
      </c>
      <c r="H61" s="93">
        <f t="shared" si="3"/>
        <v>2679.51</v>
      </c>
    </row>
    <row r="62" spans="1:8">
      <c r="A62" s="94" t="s">
        <v>176</v>
      </c>
      <c r="B62" s="90" t="s">
        <v>40</v>
      </c>
      <c r="C62" s="90">
        <v>88264</v>
      </c>
      <c r="D62" s="91" t="s">
        <v>230</v>
      </c>
      <c r="E62" s="90" t="s">
        <v>153</v>
      </c>
      <c r="F62" s="92">
        <v>3.2631000000000001</v>
      </c>
      <c r="G62" s="92">
        <v>26.92</v>
      </c>
      <c r="H62" s="93">
        <f t="shared" si="3"/>
        <v>87.842652000000015</v>
      </c>
    </row>
    <row r="63" spans="1:8">
      <c r="A63" s="94" t="s">
        <v>176</v>
      </c>
      <c r="B63" s="90" t="s">
        <v>40</v>
      </c>
      <c r="C63" s="90">
        <v>88247</v>
      </c>
      <c r="D63" s="91" t="s">
        <v>231</v>
      </c>
      <c r="E63" s="90" t="s">
        <v>153</v>
      </c>
      <c r="F63" s="92">
        <v>1.1691</v>
      </c>
      <c r="G63" s="92">
        <v>21.22</v>
      </c>
      <c r="H63" s="93">
        <f t="shared" si="3"/>
        <v>24.808301999999998</v>
      </c>
    </row>
    <row r="64" spans="1:8">
      <c r="A64" s="94" t="s">
        <v>167</v>
      </c>
      <c r="B64" s="90" t="s">
        <v>40</v>
      </c>
      <c r="C64" s="90">
        <v>21127</v>
      </c>
      <c r="D64" s="91" t="s">
        <v>232</v>
      </c>
      <c r="E64" s="90" t="s">
        <v>13</v>
      </c>
      <c r="F64" s="92">
        <v>1.4E-2</v>
      </c>
      <c r="G64" s="92">
        <v>3.3</v>
      </c>
      <c r="H64" s="93">
        <f t="shared" si="3"/>
        <v>4.6199999999999998E-2</v>
      </c>
    </row>
    <row r="65" spans="1:8" ht="22.5">
      <c r="A65" s="94" t="s">
        <v>167</v>
      </c>
      <c r="B65" s="90" t="s">
        <v>34</v>
      </c>
      <c r="C65" s="90">
        <v>615</v>
      </c>
      <c r="D65" s="91" t="s">
        <v>233</v>
      </c>
      <c r="E65" s="90" t="s">
        <v>13</v>
      </c>
      <c r="F65" s="92">
        <v>1</v>
      </c>
      <c r="G65" s="92">
        <v>674.9</v>
      </c>
      <c r="H65" s="93">
        <f t="shared" si="3"/>
        <v>674.9</v>
      </c>
    </row>
    <row r="66" spans="1:8">
      <c r="A66" s="94" t="s">
        <v>176</v>
      </c>
      <c r="B66" s="90" t="s">
        <v>34</v>
      </c>
      <c r="C66" s="90">
        <v>2455</v>
      </c>
      <c r="D66" s="91" t="s">
        <v>234</v>
      </c>
      <c r="E66" s="90" t="s">
        <v>153</v>
      </c>
      <c r="F66" s="92">
        <v>1</v>
      </c>
      <c r="G66" s="92">
        <v>101.16</v>
      </c>
      <c r="H66" s="93">
        <f t="shared" si="3"/>
        <v>101.16</v>
      </c>
    </row>
    <row r="67" spans="1:8">
      <c r="A67" s="95"/>
      <c r="B67" s="96"/>
      <c r="C67" s="96"/>
      <c r="D67" s="96"/>
      <c r="E67" s="355" t="s">
        <v>154</v>
      </c>
      <c r="F67" s="355"/>
      <c r="G67" s="356"/>
      <c r="H67" s="97">
        <f>SUM(H57:H66)</f>
        <v>4023.9671539999999</v>
      </c>
    </row>
    <row r="68" spans="1:8">
      <c r="A68" s="98"/>
      <c r="B68" s="99"/>
      <c r="C68" s="99"/>
      <c r="D68" s="99"/>
      <c r="E68" s="100"/>
      <c r="F68" s="101" t="s">
        <v>208</v>
      </c>
      <c r="G68" s="102">
        <f>$H$9</f>
        <v>0.2261</v>
      </c>
      <c r="H68" s="103">
        <f>ROUND(H67*$H$9,2)</f>
        <v>909.82</v>
      </c>
    </row>
    <row r="69" spans="1:8">
      <c r="A69" s="104"/>
      <c r="B69" s="105"/>
      <c r="C69" s="105"/>
      <c r="D69" s="105"/>
      <c r="E69" s="106"/>
      <c r="F69" s="106"/>
      <c r="G69" s="107" t="s">
        <v>209</v>
      </c>
      <c r="H69" s="108">
        <f>H67+H68</f>
        <v>4933.7871539999996</v>
      </c>
    </row>
    <row r="70" spans="1:8">
      <c r="A70" s="109"/>
      <c r="B70" s="110"/>
      <c r="C70" s="110"/>
      <c r="D70" s="110"/>
      <c r="E70" s="111" t="str">
        <f>A56</f>
        <v>CPU-29</v>
      </c>
      <c r="F70" s="353" t="s">
        <v>156</v>
      </c>
      <c r="G70" s="354"/>
      <c r="H70" s="112">
        <f>H69</f>
        <v>4933.7871539999996</v>
      </c>
    </row>
  </sheetData>
  <mergeCells count="46">
    <mergeCell ref="A7:H7"/>
    <mergeCell ref="A5:H5"/>
    <mergeCell ref="B11:D11"/>
    <mergeCell ref="E11:G11"/>
    <mergeCell ref="E24:G24"/>
    <mergeCell ref="F14:F15"/>
    <mergeCell ref="G14:G15"/>
    <mergeCell ref="E9:G9"/>
    <mergeCell ref="E10:G10"/>
    <mergeCell ref="E67:G67"/>
    <mergeCell ref="F30:F31"/>
    <mergeCell ref="F42:F43"/>
    <mergeCell ref="F56:F57"/>
    <mergeCell ref="G30:G31"/>
    <mergeCell ref="G42:G43"/>
    <mergeCell ref="G56:G57"/>
    <mergeCell ref="F39:G39"/>
    <mergeCell ref="F70:G70"/>
    <mergeCell ref="A14:A15"/>
    <mergeCell ref="A30:A31"/>
    <mergeCell ref="A42:A43"/>
    <mergeCell ref="A56:A57"/>
    <mergeCell ref="B14:B15"/>
    <mergeCell ref="B30:B31"/>
    <mergeCell ref="B42:B43"/>
    <mergeCell ref="B56:B57"/>
    <mergeCell ref="C14:C15"/>
    <mergeCell ref="C30:C31"/>
    <mergeCell ref="C42:C43"/>
    <mergeCell ref="C56:C57"/>
    <mergeCell ref="D14:D15"/>
    <mergeCell ref="D30:D31"/>
    <mergeCell ref="D42:D43"/>
    <mergeCell ref="H14:H15"/>
    <mergeCell ref="H30:H31"/>
    <mergeCell ref="H42:H43"/>
    <mergeCell ref="H56:H57"/>
    <mergeCell ref="D56:D57"/>
    <mergeCell ref="E14:E15"/>
    <mergeCell ref="E30:E31"/>
    <mergeCell ref="E42:E43"/>
    <mergeCell ref="E56:E57"/>
    <mergeCell ref="F27:G27"/>
    <mergeCell ref="E36:G36"/>
    <mergeCell ref="E51:G51"/>
    <mergeCell ref="F54:G54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7"/>
  <sheetViews>
    <sheetView workbookViewId="0">
      <selection activeCell="E1" sqref="E1"/>
    </sheetView>
  </sheetViews>
  <sheetFormatPr defaultColWidth="9" defaultRowHeight="12.75"/>
  <cols>
    <col min="2" max="2" width="15.28515625" customWidth="1"/>
    <col min="3" max="3" width="48.28515625" customWidth="1"/>
    <col min="4" max="4" width="9.28515625" bestFit="1" customWidth="1"/>
  </cols>
  <sheetData>
    <row r="2" spans="2:9" ht="20.25">
      <c r="B2" s="425" t="s">
        <v>235</v>
      </c>
      <c r="C2" s="426"/>
      <c r="D2" s="426"/>
      <c r="E2" s="426"/>
      <c r="F2" s="426"/>
      <c r="G2" s="426"/>
      <c r="H2" s="426"/>
      <c r="I2" s="427"/>
    </row>
    <row r="3" spans="2:9" ht="20.25">
      <c r="B3" s="428"/>
      <c r="C3" s="429"/>
      <c r="D3" s="429"/>
      <c r="E3" s="429"/>
      <c r="F3" s="429"/>
      <c r="G3" s="429"/>
      <c r="H3" s="429"/>
      <c r="I3" s="430"/>
    </row>
    <row r="4" spans="2:9" ht="60.75" customHeight="1">
      <c r="B4" s="26" t="s">
        <v>236</v>
      </c>
      <c r="C4" s="431" t="s">
        <v>3</v>
      </c>
      <c r="D4" s="431"/>
      <c r="E4" s="431"/>
      <c r="F4" s="431"/>
      <c r="G4" s="431"/>
      <c r="H4" s="431"/>
      <c r="I4" s="432"/>
    </row>
    <row r="5" spans="2:9" ht="31.5">
      <c r="B5" s="27" t="s">
        <v>237</v>
      </c>
      <c r="C5" s="433" t="s">
        <v>238</v>
      </c>
      <c r="D5" s="433"/>
      <c r="E5" s="433"/>
      <c r="F5" s="433"/>
      <c r="G5" s="433"/>
      <c r="H5" s="433"/>
      <c r="I5" s="434"/>
    </row>
    <row r="6" spans="2:9" ht="15">
      <c r="B6" s="435" t="s">
        <v>352</v>
      </c>
      <c r="C6" s="417"/>
      <c r="D6" s="417"/>
      <c r="E6" s="417"/>
      <c r="F6" s="417"/>
      <c r="G6" s="417"/>
      <c r="H6" s="417"/>
      <c r="I6" s="418"/>
    </row>
    <row r="7" spans="2:9" ht="15">
      <c r="B7" s="28"/>
      <c r="C7" s="29"/>
      <c r="D7" s="29"/>
      <c r="E7" s="29"/>
      <c r="F7" s="29"/>
      <c r="G7" s="30"/>
      <c r="H7" s="30"/>
      <c r="I7" s="67"/>
    </row>
    <row r="8" spans="2:9" ht="15.75" customHeight="1">
      <c r="B8" s="416" t="s">
        <v>239</v>
      </c>
      <c r="C8" s="417"/>
      <c r="D8" s="418"/>
      <c r="E8" s="29"/>
      <c r="F8" s="365" t="s">
        <v>240</v>
      </c>
      <c r="G8" s="366"/>
      <c r="H8" s="366"/>
      <c r="I8" s="367"/>
    </row>
    <row r="9" spans="2:9">
      <c r="B9" s="387" t="s">
        <v>9</v>
      </c>
      <c r="C9" s="391" t="s">
        <v>241</v>
      </c>
      <c r="D9" s="395" t="s">
        <v>242</v>
      </c>
      <c r="E9" s="31"/>
      <c r="F9" s="368"/>
      <c r="G9" s="369"/>
      <c r="H9" s="369"/>
      <c r="I9" s="370"/>
    </row>
    <row r="10" spans="2:9">
      <c r="B10" s="388"/>
      <c r="C10" s="392"/>
      <c r="D10" s="396"/>
      <c r="E10" s="31"/>
      <c r="F10" s="32" t="s">
        <v>243</v>
      </c>
      <c r="G10" s="419" t="s">
        <v>244</v>
      </c>
      <c r="H10" s="420"/>
      <c r="I10" s="68" t="s">
        <v>245</v>
      </c>
    </row>
    <row r="11" spans="2:9" ht="14.25">
      <c r="B11" s="421"/>
      <c r="C11" s="422"/>
      <c r="D11" s="422"/>
      <c r="E11" s="33"/>
      <c r="F11" s="33"/>
      <c r="G11" s="30"/>
      <c r="H11" s="30"/>
      <c r="I11" s="67"/>
    </row>
    <row r="12" spans="2:9" ht="14.25">
      <c r="B12" s="34" t="s">
        <v>246</v>
      </c>
      <c r="C12" s="401" t="s">
        <v>247</v>
      </c>
      <c r="D12" s="402"/>
      <c r="E12" s="35"/>
      <c r="F12" s="36"/>
      <c r="G12" s="423"/>
      <c r="H12" s="424"/>
      <c r="I12" s="69"/>
    </row>
    <row r="13" spans="2:9">
      <c r="B13" s="37" t="s">
        <v>248</v>
      </c>
      <c r="C13" s="38" t="s">
        <v>249</v>
      </c>
      <c r="D13" s="267">
        <v>0</v>
      </c>
      <c r="E13" s="40"/>
      <c r="F13" s="41">
        <v>3.2000000000000002E-3</v>
      </c>
      <c r="G13" s="414">
        <v>4.0000000000000001E-3</v>
      </c>
      <c r="H13" s="415"/>
      <c r="I13" s="70">
        <v>7.4000000000000003E-3</v>
      </c>
    </row>
    <row r="14" spans="2:9">
      <c r="B14" s="37" t="s">
        <v>250</v>
      </c>
      <c r="C14" s="38" t="s">
        <v>251</v>
      </c>
      <c r="D14" s="267">
        <v>0</v>
      </c>
      <c r="E14" s="40"/>
      <c r="F14" s="41">
        <v>5.0000000000000001E-3</v>
      </c>
      <c r="G14" s="414">
        <v>5.5999999999999999E-3</v>
      </c>
      <c r="H14" s="415"/>
      <c r="I14" s="70">
        <v>9.7000000000000003E-3</v>
      </c>
    </row>
    <row r="15" spans="2:9">
      <c r="B15" s="37" t="s">
        <v>252</v>
      </c>
      <c r="C15" s="38" t="s">
        <v>253</v>
      </c>
      <c r="D15" s="39">
        <v>1.06E-2</v>
      </c>
      <c r="E15" s="40"/>
      <c r="F15" s="41">
        <v>1.0200000000000001E-2</v>
      </c>
      <c r="G15" s="414">
        <v>1.11E-2</v>
      </c>
      <c r="H15" s="415"/>
      <c r="I15" s="70">
        <v>1.21E-2</v>
      </c>
    </row>
    <row r="16" spans="2:9">
      <c r="B16" s="37" t="s">
        <v>254</v>
      </c>
      <c r="C16" s="38" t="s">
        <v>255</v>
      </c>
      <c r="D16" s="39">
        <v>3.8699999999999998E-2</v>
      </c>
      <c r="E16" s="40"/>
      <c r="F16" s="41">
        <v>3.7999999999999999E-2</v>
      </c>
      <c r="G16" s="414">
        <v>4.0099999999999997E-2</v>
      </c>
      <c r="H16" s="415"/>
      <c r="I16" s="70">
        <v>4.6699999999999998E-2</v>
      </c>
    </row>
    <row r="17" spans="2:9">
      <c r="B17" s="408" t="s">
        <v>256</v>
      </c>
      <c r="C17" s="409"/>
      <c r="D17" s="44">
        <f>SUM(D13:D16)</f>
        <v>4.9299999999999997E-2</v>
      </c>
      <c r="E17" s="45"/>
      <c r="F17" s="46"/>
      <c r="G17" s="412"/>
      <c r="H17" s="413"/>
      <c r="I17" s="71"/>
    </row>
    <row r="18" spans="2:9">
      <c r="B18" s="399"/>
      <c r="C18" s="400"/>
      <c r="D18" s="400"/>
      <c r="E18" s="47"/>
      <c r="F18" s="40"/>
      <c r="G18" s="40"/>
      <c r="H18" s="40"/>
      <c r="I18" s="72"/>
    </row>
    <row r="19" spans="2:9">
      <c r="B19" s="34" t="s">
        <v>257</v>
      </c>
      <c r="C19" s="401" t="s">
        <v>258</v>
      </c>
      <c r="D19" s="402"/>
      <c r="E19" s="35"/>
      <c r="F19" s="48"/>
      <c r="G19" s="410"/>
      <c r="H19" s="411"/>
      <c r="I19" s="73"/>
    </row>
    <row r="20" spans="2:9">
      <c r="B20" s="37" t="s">
        <v>259</v>
      </c>
      <c r="C20" s="38" t="s">
        <v>260</v>
      </c>
      <c r="D20" s="39">
        <v>6.7000000000000004E-2</v>
      </c>
      <c r="E20" s="40"/>
      <c r="F20" s="41">
        <v>6.6400000000000001E-2</v>
      </c>
      <c r="G20" s="42">
        <v>7.2999999999999995E-2</v>
      </c>
      <c r="H20" s="43"/>
      <c r="I20" s="70">
        <v>8.6900000000000005E-2</v>
      </c>
    </row>
    <row r="21" spans="2:9">
      <c r="B21" s="408" t="s">
        <v>261</v>
      </c>
      <c r="C21" s="409"/>
      <c r="D21" s="44">
        <f>SUM(D20)</f>
        <v>6.7000000000000004E-2</v>
      </c>
      <c r="E21" s="45"/>
      <c r="F21" s="46"/>
      <c r="G21" s="412"/>
      <c r="H21" s="413"/>
      <c r="I21" s="71"/>
    </row>
    <row r="22" spans="2:9">
      <c r="B22" s="399"/>
      <c r="C22" s="400"/>
      <c r="D22" s="400"/>
      <c r="E22" s="47"/>
      <c r="F22" s="40"/>
      <c r="G22" s="40"/>
      <c r="H22" s="40"/>
      <c r="I22" s="72"/>
    </row>
    <row r="23" spans="2:9" ht="12.75" customHeight="1">
      <c r="B23" s="34" t="s">
        <v>262</v>
      </c>
      <c r="C23" s="401" t="s">
        <v>263</v>
      </c>
      <c r="D23" s="402"/>
      <c r="E23" s="35"/>
      <c r="F23" s="403" t="s">
        <v>264</v>
      </c>
      <c r="G23" s="404"/>
      <c r="H23" s="404"/>
      <c r="I23" s="405"/>
    </row>
    <row r="24" spans="2:9" ht="12.75" customHeight="1">
      <c r="B24" s="37" t="s">
        <v>265</v>
      </c>
      <c r="C24" s="38" t="s">
        <v>266</v>
      </c>
      <c r="D24" s="39">
        <v>6.4999999999999997E-3</v>
      </c>
      <c r="E24" s="40"/>
      <c r="F24" s="361" t="s">
        <v>267</v>
      </c>
      <c r="G24" s="371" t="s">
        <v>268</v>
      </c>
      <c r="H24" s="372"/>
      <c r="I24" s="363" t="s">
        <v>269</v>
      </c>
    </row>
    <row r="25" spans="2:9">
      <c r="B25" s="37" t="s">
        <v>270</v>
      </c>
      <c r="C25" s="38" t="s">
        <v>271</v>
      </c>
      <c r="D25" s="39">
        <v>0.03</v>
      </c>
      <c r="E25" s="40"/>
      <c r="F25" s="362"/>
      <c r="G25" s="373"/>
      <c r="H25" s="374"/>
      <c r="I25" s="364"/>
    </row>
    <row r="26" spans="2:9">
      <c r="B26" s="389" t="s">
        <v>272</v>
      </c>
      <c r="C26" s="393" t="s">
        <v>273</v>
      </c>
      <c r="D26" s="397">
        <f>F27</f>
        <v>0.05</v>
      </c>
      <c r="E26" s="40"/>
      <c r="F26" s="50"/>
      <c r="G26" s="40"/>
      <c r="H26" s="40"/>
      <c r="I26" s="72"/>
    </row>
    <row r="27" spans="2:9">
      <c r="B27" s="390"/>
      <c r="C27" s="394"/>
      <c r="D27" s="398"/>
      <c r="E27" s="40"/>
      <c r="F27" s="51">
        <v>0.05</v>
      </c>
      <c r="G27" s="406">
        <v>0.6</v>
      </c>
      <c r="H27" s="407"/>
      <c r="I27" s="74">
        <f>F27*G27</f>
        <v>0.03</v>
      </c>
    </row>
    <row r="28" spans="2:9">
      <c r="B28" s="49" t="s">
        <v>274</v>
      </c>
      <c r="C28" s="52" t="s">
        <v>275</v>
      </c>
      <c r="D28" s="53"/>
      <c r="E28" s="40"/>
      <c r="F28" s="54"/>
      <c r="G28" s="54"/>
      <c r="H28" s="54"/>
      <c r="I28" s="75"/>
    </row>
    <row r="29" spans="2:9">
      <c r="B29" s="408" t="s">
        <v>276</v>
      </c>
      <c r="C29" s="409"/>
      <c r="D29" s="44">
        <f>SUM(D24:D28)</f>
        <v>8.6499999999999994E-2</v>
      </c>
      <c r="E29" s="45"/>
      <c r="F29" s="55"/>
      <c r="G29" s="55"/>
      <c r="H29" s="55"/>
      <c r="I29" s="76"/>
    </row>
    <row r="30" spans="2:9">
      <c r="B30" s="385"/>
      <c r="C30" s="386"/>
      <c r="D30" s="386"/>
      <c r="E30" s="56"/>
      <c r="F30" s="55"/>
      <c r="G30" s="55"/>
      <c r="H30" s="55"/>
      <c r="I30" s="76"/>
    </row>
    <row r="31" spans="2:9">
      <c r="B31" s="57"/>
      <c r="C31" s="35" t="s">
        <v>277</v>
      </c>
      <c r="D31" s="58"/>
      <c r="E31" s="58"/>
      <c r="F31" s="55"/>
      <c r="G31" s="55"/>
      <c r="H31" s="55"/>
      <c r="I31" s="76"/>
    </row>
    <row r="32" spans="2:9">
      <c r="B32" s="59"/>
      <c r="C32" s="56"/>
      <c r="D32" s="56"/>
      <c r="E32" s="56"/>
      <c r="F32" s="55"/>
      <c r="G32" s="55"/>
      <c r="H32" s="55"/>
      <c r="I32" s="76"/>
    </row>
    <row r="33" spans="2:9">
      <c r="B33" s="375" t="s">
        <v>278</v>
      </c>
      <c r="C33" s="376"/>
      <c r="D33" s="377"/>
      <c r="E33" s="60"/>
      <c r="F33" s="55"/>
      <c r="G33" s="55"/>
      <c r="H33" s="55"/>
      <c r="I33" s="76"/>
    </row>
    <row r="34" spans="2:9">
      <c r="B34" s="378"/>
      <c r="C34" s="379"/>
      <c r="D34" s="380"/>
      <c r="E34" s="60"/>
      <c r="F34" s="55"/>
      <c r="G34" s="55"/>
      <c r="H34" s="55"/>
      <c r="I34" s="76"/>
    </row>
    <row r="35" spans="2:9">
      <c r="B35" s="61"/>
      <c r="C35" s="62"/>
      <c r="D35" s="63"/>
      <c r="E35" s="63"/>
      <c r="F35" s="55"/>
      <c r="G35" s="55"/>
      <c r="H35" s="55"/>
      <c r="I35" s="76"/>
    </row>
    <row r="36" spans="2:9" ht="15.75">
      <c r="B36" s="381" t="s">
        <v>279</v>
      </c>
      <c r="C36" s="382"/>
      <c r="D36" s="359">
        <f>ROUND((((1+D16+D13+D14)*(1+D15)*(1+D21))/(1-D29))-1,4)</f>
        <v>0.2261</v>
      </c>
      <c r="E36" s="64"/>
      <c r="F36" s="55"/>
      <c r="G36" s="55"/>
      <c r="H36" s="55"/>
      <c r="I36" s="76"/>
    </row>
    <row r="37" spans="2:9" ht="15.75">
      <c r="B37" s="383"/>
      <c r="C37" s="384"/>
      <c r="D37" s="360"/>
      <c r="E37" s="65"/>
      <c r="F37" s="66"/>
      <c r="G37" s="66"/>
      <c r="H37" s="66"/>
      <c r="I37" s="77"/>
    </row>
  </sheetData>
  <mergeCells count="40">
    <mergeCell ref="B2:I2"/>
    <mergeCell ref="B3:I3"/>
    <mergeCell ref="C4:I4"/>
    <mergeCell ref="C5:I5"/>
    <mergeCell ref="B6:I6"/>
    <mergeCell ref="B8:D8"/>
    <mergeCell ref="G10:H10"/>
    <mergeCell ref="B11:D11"/>
    <mergeCell ref="C12:D12"/>
    <mergeCell ref="G12:H12"/>
    <mergeCell ref="G13:H13"/>
    <mergeCell ref="G14:H14"/>
    <mergeCell ref="G15:H15"/>
    <mergeCell ref="G16:H16"/>
    <mergeCell ref="B17:C17"/>
    <mergeCell ref="G17:H17"/>
    <mergeCell ref="F23:I23"/>
    <mergeCell ref="G27:H27"/>
    <mergeCell ref="B29:C29"/>
    <mergeCell ref="B18:D18"/>
    <mergeCell ref="C19:D19"/>
    <mergeCell ref="G19:H19"/>
    <mergeCell ref="B21:C21"/>
    <mergeCell ref="G21:H21"/>
    <mergeCell ref="D36:D37"/>
    <mergeCell ref="F24:F25"/>
    <mergeCell ref="I24:I25"/>
    <mergeCell ref="F8:I9"/>
    <mergeCell ref="G24:H25"/>
    <mergeCell ref="B33:D34"/>
    <mergeCell ref="B36:C37"/>
    <mergeCell ref="B30:D30"/>
    <mergeCell ref="B9:B10"/>
    <mergeCell ref="B26:B27"/>
    <mergeCell ref="C9:C10"/>
    <mergeCell ref="C26:C27"/>
    <mergeCell ref="D9:D10"/>
    <mergeCell ref="D26:D27"/>
    <mergeCell ref="B22:D22"/>
    <mergeCell ref="C23:D23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3"/>
  <sheetViews>
    <sheetView workbookViewId="0">
      <selection activeCell="B13" sqref="B13"/>
    </sheetView>
  </sheetViews>
  <sheetFormatPr defaultColWidth="9" defaultRowHeight="12.75"/>
  <cols>
    <col min="2" max="2" width="36.140625" customWidth="1"/>
    <col min="3" max="3" width="39.85546875" customWidth="1"/>
    <col min="4" max="4" width="16.7109375" hidden="1" customWidth="1"/>
    <col min="5" max="5" width="16.85546875" hidden="1" customWidth="1"/>
    <col min="6" max="6" width="13.140625" customWidth="1"/>
    <col min="7" max="7" width="16.85546875" customWidth="1"/>
  </cols>
  <sheetData>
    <row r="2" spans="2:7">
      <c r="B2" s="1"/>
      <c r="C2" s="1"/>
      <c r="D2" s="1"/>
      <c r="E2" s="1"/>
      <c r="F2" s="1"/>
      <c r="G2" s="1"/>
    </row>
    <row r="3" spans="2:7">
      <c r="B3" s="1"/>
      <c r="C3" s="1"/>
      <c r="D3" s="1"/>
      <c r="E3" s="1"/>
      <c r="F3" s="1"/>
      <c r="G3" s="1"/>
    </row>
    <row r="4" spans="2:7">
      <c r="B4" s="1"/>
      <c r="C4" s="1"/>
      <c r="D4" s="1"/>
      <c r="E4" s="1"/>
      <c r="F4" s="1"/>
      <c r="G4" s="1"/>
    </row>
    <row r="5" spans="2:7">
      <c r="B5" s="1"/>
      <c r="C5" s="1"/>
      <c r="D5" s="1"/>
      <c r="E5" s="1"/>
      <c r="F5" s="1"/>
      <c r="G5" s="1"/>
    </row>
    <row r="6" spans="2:7">
      <c r="B6" s="1"/>
      <c r="C6" s="1"/>
      <c r="D6" s="1"/>
      <c r="E6" s="1"/>
      <c r="F6" s="1"/>
      <c r="G6" s="1"/>
    </row>
    <row r="7" spans="2:7">
      <c r="B7" s="2" t="s">
        <v>280</v>
      </c>
      <c r="C7" s="3"/>
      <c r="D7" s="4"/>
      <c r="E7" s="4"/>
      <c r="F7" s="4"/>
      <c r="G7" s="5"/>
    </row>
    <row r="8" spans="2:7">
      <c r="B8" s="2" t="s">
        <v>281</v>
      </c>
      <c r="C8" s="3"/>
      <c r="D8" s="4"/>
      <c r="E8" s="4"/>
      <c r="F8" s="4"/>
      <c r="G8" s="5"/>
    </row>
    <row r="9" spans="2:7">
      <c r="B9" s="2" t="s">
        <v>282</v>
      </c>
      <c r="C9" s="3"/>
      <c r="D9" s="4"/>
      <c r="E9" s="4"/>
      <c r="F9" s="4"/>
      <c r="G9" s="5"/>
    </row>
    <row r="10" spans="2:7">
      <c r="B10" s="436"/>
      <c r="C10" s="437"/>
      <c r="D10" s="437"/>
      <c r="E10" s="437"/>
      <c r="F10" s="437"/>
      <c r="G10" s="438"/>
    </row>
    <row r="11" spans="2:7">
      <c r="B11" s="439"/>
      <c r="C11" s="440"/>
      <c r="D11" s="440"/>
      <c r="E11" s="440"/>
      <c r="F11" s="440"/>
      <c r="G11" s="441"/>
    </row>
    <row r="12" spans="2:7" ht="15.75">
      <c r="B12" s="443" t="s">
        <v>370</v>
      </c>
      <c r="C12" s="444"/>
      <c r="D12" s="444"/>
      <c r="E12" s="444"/>
      <c r="F12" s="444"/>
      <c r="G12" s="445"/>
    </row>
    <row r="13" spans="2:7" ht="15.75">
      <c r="B13" s="7" t="s">
        <v>283</v>
      </c>
      <c r="C13" s="6"/>
      <c r="D13" s="443" t="s">
        <v>284</v>
      </c>
      <c r="E13" s="445"/>
      <c r="F13" s="443" t="s">
        <v>191</v>
      </c>
      <c r="G13" s="445"/>
    </row>
    <row r="14" spans="2:7" ht="15">
      <c r="B14" s="446"/>
      <c r="C14" s="447"/>
      <c r="D14" s="447"/>
      <c r="E14" s="447"/>
      <c r="F14" s="447"/>
      <c r="G14" s="448"/>
    </row>
    <row r="15" spans="2:7">
      <c r="B15" s="442"/>
      <c r="C15" s="442"/>
      <c r="D15" s="449" t="s">
        <v>285</v>
      </c>
      <c r="E15" s="449" t="s">
        <v>286</v>
      </c>
      <c r="F15" s="449" t="s">
        <v>285</v>
      </c>
      <c r="G15" s="449" t="s">
        <v>286</v>
      </c>
    </row>
    <row r="16" spans="2:7">
      <c r="B16" s="442"/>
      <c r="C16" s="442"/>
      <c r="D16" s="449"/>
      <c r="E16" s="449"/>
      <c r="F16" s="449"/>
      <c r="G16" s="449"/>
    </row>
    <row r="17" spans="2:7" ht="15.75">
      <c r="B17" s="443" t="s">
        <v>287</v>
      </c>
      <c r="C17" s="444"/>
      <c r="D17" s="444"/>
      <c r="E17" s="444"/>
      <c r="F17" s="444"/>
      <c r="G17" s="445"/>
    </row>
    <row r="18" spans="2:7" ht="15">
      <c r="B18" s="9" t="s">
        <v>248</v>
      </c>
      <c r="C18" s="10" t="s">
        <v>288</v>
      </c>
      <c r="D18" s="11">
        <v>0</v>
      </c>
      <c r="E18" s="11">
        <v>0</v>
      </c>
      <c r="F18" s="11">
        <v>20</v>
      </c>
      <c r="G18" s="11">
        <v>20</v>
      </c>
    </row>
    <row r="19" spans="2:7" ht="15">
      <c r="B19" s="12" t="s">
        <v>250</v>
      </c>
      <c r="C19" s="13" t="s">
        <v>289</v>
      </c>
      <c r="D19" s="14">
        <v>1.5</v>
      </c>
      <c r="E19" s="14">
        <v>1.5</v>
      </c>
      <c r="F19" s="14">
        <v>1.5</v>
      </c>
      <c r="G19" s="14">
        <v>1.5</v>
      </c>
    </row>
    <row r="20" spans="2:7" ht="15">
      <c r="B20" s="12" t="s">
        <v>252</v>
      </c>
      <c r="C20" s="13" t="s">
        <v>290</v>
      </c>
      <c r="D20" s="14">
        <v>1</v>
      </c>
      <c r="E20" s="14">
        <v>1</v>
      </c>
      <c r="F20" s="14">
        <v>1</v>
      </c>
      <c r="G20" s="14">
        <v>1</v>
      </c>
    </row>
    <row r="21" spans="2:7" ht="15">
      <c r="B21" s="12" t="s">
        <v>254</v>
      </c>
      <c r="C21" s="13" t="s">
        <v>291</v>
      </c>
      <c r="D21" s="14">
        <v>0.2</v>
      </c>
      <c r="E21" s="14">
        <v>0.2</v>
      </c>
      <c r="F21" s="14">
        <v>0.2</v>
      </c>
      <c r="G21" s="14">
        <v>0.2</v>
      </c>
    </row>
    <row r="22" spans="2:7" ht="15">
      <c r="B22" s="12" t="s">
        <v>292</v>
      </c>
      <c r="C22" s="13" t="s">
        <v>293</v>
      </c>
      <c r="D22" s="14">
        <v>0.6</v>
      </c>
      <c r="E22" s="14">
        <v>0.6</v>
      </c>
      <c r="F22" s="14">
        <v>0.6</v>
      </c>
      <c r="G22" s="14">
        <v>0.6</v>
      </c>
    </row>
    <row r="23" spans="2:7" ht="15">
      <c r="B23" s="12" t="s">
        <v>294</v>
      </c>
      <c r="C23" s="13" t="s">
        <v>295</v>
      </c>
      <c r="D23" s="14">
        <v>2.5</v>
      </c>
      <c r="E23" s="14">
        <v>2.5</v>
      </c>
      <c r="F23" s="14">
        <v>2.5</v>
      </c>
      <c r="G23" s="14">
        <v>2.5</v>
      </c>
    </row>
    <row r="24" spans="2:7" ht="15">
      <c r="B24" s="12" t="s">
        <v>296</v>
      </c>
      <c r="C24" s="13" t="s">
        <v>297</v>
      </c>
      <c r="D24" s="14">
        <v>3</v>
      </c>
      <c r="E24" s="14">
        <v>3</v>
      </c>
      <c r="F24" s="14">
        <v>3</v>
      </c>
      <c r="G24" s="14">
        <v>3</v>
      </c>
    </row>
    <row r="25" spans="2:7" ht="15">
      <c r="B25" s="12" t="s">
        <v>298</v>
      </c>
      <c r="C25" s="13" t="s">
        <v>299</v>
      </c>
      <c r="D25" s="14">
        <v>8</v>
      </c>
      <c r="E25" s="14">
        <v>8</v>
      </c>
      <c r="F25" s="14">
        <v>8</v>
      </c>
      <c r="G25" s="14">
        <v>8</v>
      </c>
    </row>
    <row r="26" spans="2:7" ht="15">
      <c r="B26" s="15" t="s">
        <v>300</v>
      </c>
      <c r="C26" s="16" t="s">
        <v>301</v>
      </c>
      <c r="D26" s="17">
        <v>0</v>
      </c>
      <c r="E26" s="17">
        <v>0</v>
      </c>
      <c r="F26" s="17">
        <v>0</v>
      </c>
      <c r="G26" s="17">
        <v>0</v>
      </c>
    </row>
    <row r="27" spans="2:7" ht="15.75">
      <c r="B27" s="8" t="s">
        <v>302</v>
      </c>
      <c r="C27" s="18" t="s">
        <v>136</v>
      </c>
      <c r="D27" s="19">
        <f>SUM(D18:D26)</f>
        <v>16.8</v>
      </c>
      <c r="E27" s="19">
        <f>SUM(E18:E26)</f>
        <v>16.8</v>
      </c>
      <c r="F27" s="19">
        <f>SUM(F18:F26)</f>
        <v>36.799999999999997</v>
      </c>
      <c r="G27" s="19">
        <f>SUM(G18:G26)</f>
        <v>36.799999999999997</v>
      </c>
    </row>
    <row r="28" spans="2:7" ht="15.75">
      <c r="B28" s="443" t="s">
        <v>303</v>
      </c>
      <c r="C28" s="444"/>
      <c r="D28" s="444"/>
      <c r="E28" s="444"/>
      <c r="F28" s="444"/>
      <c r="G28" s="445"/>
    </row>
    <row r="29" spans="2:7" ht="15">
      <c r="B29" s="9" t="s">
        <v>304</v>
      </c>
      <c r="C29" s="10" t="s">
        <v>305</v>
      </c>
      <c r="D29" s="11">
        <v>17.97</v>
      </c>
      <c r="E29" s="11" t="s">
        <v>306</v>
      </c>
      <c r="F29" s="11">
        <v>17.97</v>
      </c>
      <c r="G29" s="11" t="s">
        <v>306</v>
      </c>
    </row>
    <row r="30" spans="2:7" ht="15">
      <c r="B30" s="12" t="s">
        <v>307</v>
      </c>
      <c r="C30" s="20" t="s">
        <v>308</v>
      </c>
      <c r="D30" s="14">
        <v>3.96</v>
      </c>
      <c r="E30" s="14" t="s">
        <v>306</v>
      </c>
      <c r="F30" s="14">
        <v>3.96</v>
      </c>
      <c r="G30" s="14" t="s">
        <v>306</v>
      </c>
    </row>
    <row r="31" spans="2:7" ht="15">
      <c r="B31" s="12" t="s">
        <v>309</v>
      </c>
      <c r="C31" s="13" t="s">
        <v>310</v>
      </c>
      <c r="D31" s="14">
        <v>0.86</v>
      </c>
      <c r="E31" s="14">
        <v>0.66</v>
      </c>
      <c r="F31" s="14">
        <v>0.86</v>
      </c>
      <c r="G31" s="14">
        <v>0.66</v>
      </c>
    </row>
    <row r="32" spans="2:7" ht="15">
      <c r="B32" s="12" t="s">
        <v>311</v>
      </c>
      <c r="C32" s="13" t="s">
        <v>312</v>
      </c>
      <c r="D32" s="14">
        <v>10.97</v>
      </c>
      <c r="E32" s="14">
        <v>8.33</v>
      </c>
      <c r="F32" s="14">
        <v>10.97</v>
      </c>
      <c r="G32" s="14">
        <v>8.33</v>
      </c>
    </row>
    <row r="33" spans="2:7" ht="15">
      <c r="B33" s="12" t="s">
        <v>313</v>
      </c>
      <c r="C33" s="13" t="s">
        <v>314</v>
      </c>
      <c r="D33" s="14">
        <v>7.0000000000000007E-2</v>
      </c>
      <c r="E33" s="14">
        <v>0.06</v>
      </c>
      <c r="F33" s="14">
        <v>7.0000000000000007E-2</v>
      </c>
      <c r="G33" s="14">
        <v>0.06</v>
      </c>
    </row>
    <row r="34" spans="2:7" ht="15">
      <c r="B34" s="12" t="s">
        <v>315</v>
      </c>
      <c r="C34" s="20" t="s">
        <v>316</v>
      </c>
      <c r="D34" s="14">
        <v>0.73</v>
      </c>
      <c r="E34" s="14">
        <v>0.56000000000000005</v>
      </c>
      <c r="F34" s="14">
        <v>0.73</v>
      </c>
      <c r="G34" s="14">
        <v>0.56000000000000005</v>
      </c>
    </row>
    <row r="35" spans="2:7" ht="15">
      <c r="B35" s="12" t="s">
        <v>317</v>
      </c>
      <c r="C35" s="20" t="s">
        <v>318</v>
      </c>
      <c r="D35" s="14">
        <v>2.04</v>
      </c>
      <c r="E35" s="14" t="s">
        <v>306</v>
      </c>
      <c r="F35" s="14">
        <v>2.04</v>
      </c>
      <c r="G35" s="14" t="s">
        <v>306</v>
      </c>
    </row>
    <row r="36" spans="2:7" ht="15">
      <c r="B36" s="12" t="s">
        <v>319</v>
      </c>
      <c r="C36" s="20" t="s">
        <v>320</v>
      </c>
      <c r="D36" s="14">
        <v>0.1</v>
      </c>
      <c r="E36" s="14">
        <v>0.08</v>
      </c>
      <c r="F36" s="14">
        <v>0.1</v>
      </c>
      <c r="G36" s="14">
        <v>0.08</v>
      </c>
    </row>
    <row r="37" spans="2:7" ht="15">
      <c r="B37" s="12" t="s">
        <v>321</v>
      </c>
      <c r="C37" s="20" t="s">
        <v>322</v>
      </c>
      <c r="D37" s="14">
        <v>10.34</v>
      </c>
      <c r="E37" s="14">
        <v>7.85</v>
      </c>
      <c r="F37" s="14">
        <v>10.34</v>
      </c>
      <c r="G37" s="14">
        <v>7.85</v>
      </c>
    </row>
    <row r="38" spans="2:7" ht="15">
      <c r="B38" s="15" t="s">
        <v>323</v>
      </c>
      <c r="C38" s="21" t="s">
        <v>324</v>
      </c>
      <c r="D38" s="17">
        <v>0.03</v>
      </c>
      <c r="E38" s="17">
        <v>0.02</v>
      </c>
      <c r="F38" s="17">
        <v>0.03</v>
      </c>
      <c r="G38" s="17">
        <v>0.02</v>
      </c>
    </row>
    <row r="39" spans="2:7" ht="15.75">
      <c r="B39" s="8" t="s">
        <v>325</v>
      </c>
      <c r="C39" s="18" t="s">
        <v>326</v>
      </c>
      <c r="D39" s="19">
        <f>SUM(D29:D38)</f>
        <v>47.069999999999993</v>
      </c>
      <c r="E39" s="19">
        <f>SUM(E29:E38)</f>
        <v>17.559999999999999</v>
      </c>
      <c r="F39" s="19">
        <f>SUM(F29:F38)</f>
        <v>47.069999999999993</v>
      </c>
      <c r="G39" s="19">
        <f>SUM(G29:G38)</f>
        <v>17.559999999999999</v>
      </c>
    </row>
    <row r="40" spans="2:7" ht="15.75">
      <c r="B40" s="443" t="s">
        <v>327</v>
      </c>
      <c r="C40" s="444"/>
      <c r="D40" s="444"/>
      <c r="E40" s="444"/>
      <c r="F40" s="444"/>
      <c r="G40" s="445"/>
    </row>
    <row r="41" spans="2:7" ht="15">
      <c r="B41" s="9" t="s">
        <v>328</v>
      </c>
      <c r="C41" s="10" t="s">
        <v>329</v>
      </c>
      <c r="D41" s="11">
        <v>5.44</v>
      </c>
      <c r="E41" s="11">
        <v>4.13</v>
      </c>
      <c r="F41" s="11">
        <v>5.44</v>
      </c>
      <c r="G41" s="11">
        <v>4.13</v>
      </c>
    </row>
    <row r="42" spans="2:7" ht="15">
      <c r="B42" s="12" t="s">
        <v>330</v>
      </c>
      <c r="C42" s="13" t="s">
        <v>331</v>
      </c>
      <c r="D42" s="14">
        <v>0.13</v>
      </c>
      <c r="E42" s="14">
        <v>0.1</v>
      </c>
      <c r="F42" s="14">
        <v>0.13</v>
      </c>
      <c r="G42" s="14">
        <v>0.1</v>
      </c>
    </row>
    <row r="43" spans="2:7" ht="15">
      <c r="B43" s="12" t="s">
        <v>332</v>
      </c>
      <c r="C43" s="13" t="s">
        <v>333</v>
      </c>
      <c r="D43" s="14">
        <v>3.41</v>
      </c>
      <c r="E43" s="14">
        <v>2.59</v>
      </c>
      <c r="F43" s="14">
        <v>3.41</v>
      </c>
      <c r="G43" s="14">
        <v>2.59</v>
      </c>
    </row>
    <row r="44" spans="2:7" ht="15">
      <c r="B44" s="12" t="s">
        <v>334</v>
      </c>
      <c r="C44" s="13" t="s">
        <v>335</v>
      </c>
      <c r="D44" s="14">
        <v>3.36</v>
      </c>
      <c r="E44" s="14">
        <v>2.5499999999999998</v>
      </c>
      <c r="F44" s="14">
        <v>3.36</v>
      </c>
      <c r="G44" s="14">
        <v>2.5499999999999998</v>
      </c>
    </row>
    <row r="45" spans="2:7" ht="15">
      <c r="B45" s="15" t="s">
        <v>336</v>
      </c>
      <c r="C45" s="16" t="s">
        <v>337</v>
      </c>
      <c r="D45" s="17">
        <v>0.46</v>
      </c>
      <c r="E45" s="17">
        <v>0.35</v>
      </c>
      <c r="F45" s="17">
        <v>0.46</v>
      </c>
      <c r="G45" s="17">
        <v>0.35</v>
      </c>
    </row>
    <row r="46" spans="2:7" ht="15.75">
      <c r="B46" s="8" t="s">
        <v>338</v>
      </c>
      <c r="C46" s="18" t="s">
        <v>326</v>
      </c>
      <c r="D46" s="19">
        <f>SUM(D41:D45)</f>
        <v>12.8</v>
      </c>
      <c r="E46" s="19">
        <f>SUM(E41:E45)</f>
        <v>9.7199999999999989</v>
      </c>
      <c r="F46" s="19">
        <f>SUM(F41:F45)</f>
        <v>12.8</v>
      </c>
      <c r="G46" s="19">
        <f>SUM(G41:G45)</f>
        <v>9.7199999999999989</v>
      </c>
    </row>
    <row r="47" spans="2:7" ht="15.75">
      <c r="B47" s="443" t="s">
        <v>339</v>
      </c>
      <c r="C47" s="444"/>
      <c r="D47" s="444"/>
      <c r="E47" s="444"/>
      <c r="F47" s="444"/>
      <c r="G47" s="445"/>
    </row>
    <row r="48" spans="2:7" ht="15">
      <c r="B48" s="9" t="s">
        <v>340</v>
      </c>
      <c r="C48" s="10" t="s">
        <v>341</v>
      </c>
      <c r="D48" s="11">
        <v>7.91</v>
      </c>
      <c r="E48" s="11">
        <v>2.95</v>
      </c>
      <c r="F48" s="11">
        <v>17.32</v>
      </c>
      <c r="G48" s="11">
        <v>6.46</v>
      </c>
    </row>
    <row r="49" spans="2:7" ht="76.5" customHeight="1">
      <c r="B49" s="22" t="s">
        <v>342</v>
      </c>
      <c r="C49" s="23" t="s">
        <v>343</v>
      </c>
      <c r="D49" s="17">
        <v>0.46</v>
      </c>
      <c r="E49" s="17">
        <v>0.35</v>
      </c>
      <c r="F49" s="17">
        <v>0.48</v>
      </c>
      <c r="G49" s="17">
        <v>0.37</v>
      </c>
    </row>
    <row r="50" spans="2:7" ht="15.75">
      <c r="B50" s="8" t="s">
        <v>344</v>
      </c>
      <c r="C50" s="18" t="s">
        <v>136</v>
      </c>
      <c r="D50" s="19">
        <f>SUM(D48:D49)</f>
        <v>8.370000000000001</v>
      </c>
      <c r="E50" s="19">
        <f>SUM(E48:E49)</f>
        <v>3.3000000000000003</v>
      </c>
      <c r="F50" s="19">
        <f>SUM(F48:F49)</f>
        <v>17.8</v>
      </c>
      <c r="G50" s="19">
        <f>SUM(G48:G49)</f>
        <v>6.83</v>
      </c>
    </row>
    <row r="51" spans="2:7" ht="15">
      <c r="B51" s="446"/>
      <c r="C51" s="447"/>
      <c r="D51" s="447"/>
      <c r="E51" s="447"/>
      <c r="F51" s="447"/>
      <c r="G51" s="448"/>
    </row>
    <row r="52" spans="2:7" ht="15.75">
      <c r="B52" s="442" t="s">
        <v>345</v>
      </c>
      <c r="C52" s="442"/>
      <c r="D52" s="19">
        <f>D27+D39+D46+D50</f>
        <v>85.039999999999992</v>
      </c>
      <c r="E52" s="19">
        <f>E27+E39+E46+E50</f>
        <v>47.379999999999995</v>
      </c>
      <c r="F52" s="24">
        <f>(F27+F39+F46+F50)/100</f>
        <v>1.1446999999999998</v>
      </c>
      <c r="G52" s="24">
        <f>(G27+G39+G46+G50)/100</f>
        <v>0.70909999999999995</v>
      </c>
    </row>
    <row r="53" spans="2:7" ht="15">
      <c r="B53" s="25"/>
      <c r="C53" s="25"/>
      <c r="D53" s="25"/>
      <c r="E53" s="25"/>
      <c r="F53" s="25"/>
      <c r="G53" s="25"/>
    </row>
  </sheetData>
  <mergeCells count="16">
    <mergeCell ref="B51:G51"/>
    <mergeCell ref="B52:C52"/>
    <mergeCell ref="B12:G12"/>
    <mergeCell ref="D13:E13"/>
    <mergeCell ref="F13:G13"/>
    <mergeCell ref="B14:G14"/>
    <mergeCell ref="B17:G17"/>
    <mergeCell ref="D15:D16"/>
    <mergeCell ref="E15:E16"/>
    <mergeCell ref="F15:F16"/>
    <mergeCell ref="G15:G16"/>
    <mergeCell ref="B10:G11"/>
    <mergeCell ref="B15:C16"/>
    <mergeCell ref="B28:G28"/>
    <mergeCell ref="B40:G40"/>
    <mergeCell ref="B47:G47"/>
  </mergeCells>
  <pageMargins left="0.511811024" right="0.511811024" top="0.78740157499999996" bottom="0.78740157499999996" header="0.31496062000000002" footer="0.31496062000000002"/>
  <pageSetup paperSize="9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Planilha - CICLOVIA</vt:lpstr>
      <vt:lpstr>Cronograma </vt:lpstr>
      <vt:lpstr>Memória de cálculo</vt:lpstr>
      <vt:lpstr>Mobilização </vt:lpstr>
      <vt:lpstr>CPU 01 - SERVIÇOS PRELIMINARES</vt:lpstr>
      <vt:lpstr>CPU 02</vt:lpstr>
      <vt:lpstr>BDI</vt:lpstr>
      <vt:lpstr>ENCARGOS SOCIAIS</vt:lpstr>
      <vt:lpstr>'CPU 01 - SERVIÇOS PRELIMINARES'!Area_de_impressao</vt:lpstr>
      <vt:lpstr>'CPU 02'!Area_de_impressao</vt:lpstr>
      <vt:lpstr>'Cronograma '!Area_de_impressao</vt:lpstr>
      <vt:lpstr>'Memória de cálculo'!Area_de_impressao</vt:lpstr>
      <vt:lpstr>'Planilha - CICLOVIA'!Area_de_impressao</vt:lpstr>
      <vt:lpstr>'Planilha - CICLOVIA'!Titulos_de_impressao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João Luiz Volpato Pazin</cp:lastModifiedBy>
  <cp:lastPrinted>2021-11-22T18:43:10Z</cp:lastPrinted>
  <dcterms:created xsi:type="dcterms:W3CDTF">1998-01-22T12:19:00Z</dcterms:created>
  <dcterms:modified xsi:type="dcterms:W3CDTF">2021-11-22T19:53:11Z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