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1-CONSTRUÇÃO BARRAGEM DE ANAGÉ\CD LICITAÇÃO\"/>
    </mc:Choice>
  </mc:AlternateContent>
  <bookViews>
    <workbookView xWindow="0" yWindow="0" windowWidth="24000" windowHeight="9735" tabRatio="876" activeTab="2"/>
  </bookViews>
  <sheets>
    <sheet name="Planilha - BARRAGEM" sheetId="81" r:id="rId1"/>
    <sheet name="Cronograma - BARRAGEM" sheetId="82" r:id="rId2"/>
    <sheet name="M. C. 01 " sheetId="100" r:id="rId3"/>
    <sheet name="Memória de cálculo" sheetId="101" r:id="rId4"/>
    <sheet name="Mobilização - BARRAGEM" sheetId="84" r:id="rId5"/>
    <sheet name="CPU 01 - SERVIÇOS PRELIMINARES" sheetId="74" r:id="rId6"/>
    <sheet name="BDI - SERVIÇOS" sheetId="77" r:id="rId7"/>
    <sheet name="BDI - FORNECIMENTO" sheetId="98" r:id="rId8"/>
    <sheet name="ENC SOCIAIS" sheetId="97" r:id="rId9"/>
  </sheets>
  <externalReferences>
    <externalReference r:id="rId10"/>
    <externalReference r:id="rId11"/>
    <externalReference r:id="rId12"/>
  </externalReferences>
  <definedNames>
    <definedName name="_\A" localSheetId="7">[1]SERVIÇO!#REF!</definedName>
    <definedName name="_\B" localSheetId="7">[1]SERVIÇO!#REF!</definedName>
    <definedName name="_\C" localSheetId="7">[1]SERVIÇO!#REF!</definedName>
    <definedName name="_\I" localSheetId="7">[1]SERVIÇO!#REF!</definedName>
    <definedName name="_\J" localSheetId="7">[1]SERVIÇO!#REF!</definedName>
    <definedName name="_\O" localSheetId="7">[1]SERVIÇO!#REF!</definedName>
    <definedName name="_\P" localSheetId="7">[1]SERVIÇO!#REF!</definedName>
    <definedName name="__\A">[1]SERVIÇO!#REF!</definedName>
    <definedName name="__\B">[1]SERVIÇO!#REF!</definedName>
    <definedName name="__\C">[1]SERVIÇO!#REF!</definedName>
    <definedName name="__\I">[1]SERVIÇO!#REF!</definedName>
    <definedName name="__\J">[1]SERVIÇO!#REF!</definedName>
    <definedName name="__\O">[1]SERVIÇO!#REF!</definedName>
    <definedName name="__\P">[1]SERVIÇO!#REF!</definedName>
    <definedName name="__ACR10">[1]SERVIÇO!#REF!</definedName>
    <definedName name="__ACR15">[1]SERVIÇO!#REF!</definedName>
    <definedName name="__acr20">[1]SERVIÇO!#REF!</definedName>
    <definedName name="__acr5">[1]SERVIÇO!#REF!</definedName>
    <definedName name="__ARQ1">[1]SERVIÇO!#REF!</definedName>
    <definedName name="__QT100">[1]SERVIÇO!#REF!</definedName>
    <definedName name="__QT2">[1]SERVIÇO!#REF!</definedName>
    <definedName name="__QT3">[1]SERVIÇO!#REF!</definedName>
    <definedName name="__QT4">[1]SERVIÇO!#REF!</definedName>
    <definedName name="__QT50">[1]SERVIÇO!#REF!</definedName>
    <definedName name="__QT75">[1]SERVIÇO!#REF!</definedName>
    <definedName name="_ACR10" localSheetId="7">[1]SERVIÇO!#REF!</definedName>
    <definedName name="_ACR15" localSheetId="7">[1]SERVIÇO!#REF!</definedName>
    <definedName name="_acr20" localSheetId="7">[1]SERVIÇO!#REF!</definedName>
    <definedName name="_acr5" localSheetId="7">[1]SERVIÇO!#REF!</definedName>
    <definedName name="_ARQ1" localSheetId="7">[1]SERVIÇO!#REF!</definedName>
    <definedName name="_QT100" localSheetId="7">[1]SERVIÇO!#REF!</definedName>
    <definedName name="_QT2" localSheetId="7">[1]SERVIÇO!#REF!</definedName>
    <definedName name="_QT3" localSheetId="7">[1]SERVIÇO!#REF!</definedName>
    <definedName name="_QT4" localSheetId="7">[1]SERVIÇO!#REF!</definedName>
    <definedName name="_QT50" localSheetId="7">[1]SERVIÇO!#REF!</definedName>
    <definedName name="_QT75" localSheetId="7">[1]SERVIÇO!#REF!</definedName>
    <definedName name="_T" localSheetId="7">[1]SERVIÇO!#REF!</definedName>
    <definedName name="_T">[1]SERVIÇO!#REF!</definedName>
    <definedName name="AAAAA" localSheetId="7">#REF!</definedName>
    <definedName name="AAAAA">#REF!</definedName>
    <definedName name="abebqt" localSheetId="7">[1]SERVIÇO!#REF!</definedName>
    <definedName name="abebqt">[1]SERVIÇO!#REF!</definedName>
    <definedName name="ACADUC" localSheetId="7">[1]SERVIÇO!#REF!</definedName>
    <definedName name="ACADUC">[1]SERVIÇO!#REF!</definedName>
    <definedName name="ACBEB" localSheetId="7">[1]SERVIÇO!#REF!</definedName>
    <definedName name="ACBEB">[1]SERVIÇO!#REF!</definedName>
    <definedName name="ACBOMB" localSheetId="7">[1]SERVIÇO!#REF!</definedName>
    <definedName name="ACBOMB">[1]SERVIÇO!#REF!</definedName>
    <definedName name="AccessDatabase" hidden="1">"D:\Arquivos do excel\Planilha modelo1.mdb"</definedName>
    <definedName name="ACCHAF" localSheetId="7">[1]SERVIÇO!#REF!</definedName>
    <definedName name="ACCHAF">[1]SERVIÇO!#REF!</definedName>
    <definedName name="ACDER" localSheetId="7">[1]SERVIÇO!#REF!</definedName>
    <definedName name="ACDER">[1]SERVIÇO!#REF!</definedName>
    <definedName name="ACDIV" localSheetId="7">[1]SERVIÇO!#REF!</definedName>
    <definedName name="ACDIV">[1]SERVIÇO!#REF!</definedName>
    <definedName name="ACEQP" localSheetId="7">[1]SERVIÇO!#REF!</definedName>
    <definedName name="ACEQP">[1]SERVIÇO!#REF!</definedName>
    <definedName name="ACHAFQT" localSheetId="7">[1]SERVIÇO!#REF!</definedName>
    <definedName name="ACHAFQT">[1]SERVIÇO!#REF!</definedName>
    <definedName name="ACMUR" localSheetId="7">[1]SERVIÇO!#REF!</definedName>
    <definedName name="ACMUR">[1]SERVIÇO!#REF!</definedName>
    <definedName name="ACONT2" localSheetId="7">[1]SERVIÇO!#REF!</definedName>
    <definedName name="ACONT2">[1]SERVIÇO!#REF!</definedName>
    <definedName name="ACPIPA" localSheetId="7">[1]SERVIÇO!#REF!</definedName>
    <definedName name="ACPIPA">[1]SERVIÇO!#REF!</definedName>
    <definedName name="ACTRANSP" localSheetId="7">[1]SERVIÇO!#REF!</definedName>
    <definedName name="ACTRANSP">[1]SERVIÇO!#REF!</definedName>
    <definedName name="ADUCQT" localSheetId="7">[1]SERVIÇO!#REF!</definedName>
    <definedName name="ADUCQT">[1]SERVIÇO!#REF!</definedName>
    <definedName name="af" localSheetId="5">#REF!</definedName>
    <definedName name="af" localSheetId="1">#REF!</definedName>
    <definedName name="af" localSheetId="3">#REF!</definedName>
    <definedName name="af" localSheetId="4">#REF!</definedName>
    <definedName name="af" localSheetId="0">#REF!</definedName>
    <definedName name="af">#REF!</definedName>
    <definedName name="ag" localSheetId="5">#REF!</definedName>
    <definedName name="ag" localSheetId="1">#REF!</definedName>
    <definedName name="ag" localSheetId="3">#REF!</definedName>
    <definedName name="ag" localSheetId="4">#REF!</definedName>
    <definedName name="ag" localSheetId="0">#REF!</definedName>
    <definedName name="ag">#REF!</definedName>
    <definedName name="AITEM" localSheetId="7">[1]SERVIÇO!#REF!</definedName>
    <definedName name="AITEM">[1]SERVIÇO!#REF!</definedName>
    <definedName name="ALTADUC" localSheetId="7">[1]SERVIÇO!#REF!</definedName>
    <definedName name="ALTADUC">[1]SERVIÇO!#REF!</definedName>
    <definedName name="ALTBOMB" localSheetId="7">[1]SERVIÇO!#REF!</definedName>
    <definedName name="ALTBOMB">[1]SERVIÇO!#REF!</definedName>
    <definedName name="ALTCAP" localSheetId="7">[1]SERVIÇO!#REF!</definedName>
    <definedName name="ALTCAP">[1]SERVIÇO!#REF!</definedName>
    <definedName name="ALTDER" localSheetId="7">[1]SERVIÇO!#REF!</definedName>
    <definedName name="ALTDER">[1]SERVIÇO!#REF!</definedName>
    <definedName name="ALTEQUIP" localSheetId="7">[1]SERVIÇO!#REF!</definedName>
    <definedName name="ALTEQUIP">[1]SERVIÇO!#REF!</definedName>
    <definedName name="ALTIEQP" localSheetId="7">[1]SERVIÇO!#REF!</definedName>
    <definedName name="ALTIEQP">[1]SERVIÇO!#REF!</definedName>
    <definedName name="ALTMUR" localSheetId="7">[1]SERVIÇO!#REF!</definedName>
    <definedName name="ALTMUR">[1]SERVIÇO!#REF!</definedName>
    <definedName name="ALTRES10" localSheetId="7">[1]SERVIÇO!#REF!</definedName>
    <definedName name="ALTRES10">[1]SERVIÇO!#REF!</definedName>
    <definedName name="ALTRES15" localSheetId="7">[1]SERVIÇO!#REF!</definedName>
    <definedName name="ALTRES15">[1]SERVIÇO!#REF!</definedName>
    <definedName name="ALTRES20" localSheetId="7">[1]SERVIÇO!#REF!</definedName>
    <definedName name="ALTRES20">[1]SERVIÇO!#REF!</definedName>
    <definedName name="ALTTRANS" localSheetId="7">[1]SERVIÇO!#REF!</definedName>
    <definedName name="ALTTRANS">[1]SERVIÇO!#REF!</definedName>
    <definedName name="AQTEMP1" localSheetId="7">[1]SERVIÇO!#REF!</definedName>
    <definedName name="AQTEMP1">[1]SERVIÇO!#REF!</definedName>
    <definedName name="AQTEMP2" localSheetId="7">[1]SERVIÇO!#REF!</definedName>
    <definedName name="AQTEMP2">[1]SERVIÇO!#REF!</definedName>
    <definedName name="_xlnm.Print_Area" localSheetId="6">'BDI - SERVIÇOS'!$B$2:$I$37</definedName>
    <definedName name="_xlnm.Print_Area" localSheetId="5">'CPU 01 - SERVIÇOS PRELIMINARES'!$A$1:$H$45</definedName>
    <definedName name="_xlnm.Print_Area" localSheetId="1">'Cronograma - BARRAGEM'!$A$1:$I$29</definedName>
    <definedName name="_xlnm.Print_Area" localSheetId="8">'ENC SOCIAIS'!$B$2:$G$52</definedName>
    <definedName name="_xlnm.Print_Area" localSheetId="3">'Memória de cálculo'!$A$1:$E$24</definedName>
    <definedName name="_xlnm.Print_Area" localSheetId="0">'Planilha - BARRAGEM'!$A$1:$J$54</definedName>
    <definedName name="ARQ" localSheetId="7">[1]SERVIÇO!#REF!</definedName>
    <definedName name="ARQ">[1]SERVIÇO!#REF!</definedName>
    <definedName name="ARQERR" localSheetId="7">[1]SERVIÇO!#REF!</definedName>
    <definedName name="ARQERR">[1]SERVIÇO!#REF!</definedName>
    <definedName name="ARQMARC" localSheetId="7">[1]SERVIÇO!#REF!</definedName>
    <definedName name="ARQMARC">[1]SERVIÇO!#REF!</definedName>
    <definedName name="ARQPLAN" localSheetId="7">[1]SERVIÇO!#REF!</definedName>
    <definedName name="ARQPLAN">[1]SERVIÇO!#REF!</definedName>
    <definedName name="ARQT" localSheetId="7">[1]SERVIÇO!#REF!</definedName>
    <definedName name="ARQT">[1]SERVIÇO!#REF!</definedName>
    <definedName name="ARQTEMP" localSheetId="7">[1]SERVIÇO!#REF!</definedName>
    <definedName name="ARQTEMP">[1]SERVIÇO!#REF!</definedName>
    <definedName name="ARQTXT" localSheetId="7">[1]SERVIÇO!#REF!</definedName>
    <definedName name="ARQTXT">[1]SERVIÇO!#REF!</definedName>
    <definedName name="ARTEMP" localSheetId="7">[1]SERVIÇO!#REF!</definedName>
    <definedName name="ARTEMP">[1]SERVIÇO!#REF!</definedName>
    <definedName name="ass" localSheetId="7">[1]SERVIÇO!#REF!</definedName>
    <definedName name="ass">[1]SERVIÇO!#REF!</definedName>
    <definedName name="BALTO" localSheetId="5">#REF!</definedName>
    <definedName name="BALTO" localSheetId="1">#REF!</definedName>
    <definedName name="BALTO" localSheetId="3">#REF!</definedName>
    <definedName name="BALTO" localSheetId="4">#REF!</definedName>
    <definedName name="BALTO" localSheetId="0">#REF!</definedName>
    <definedName name="BALTO">#REF!</definedName>
    <definedName name="bebqt" localSheetId="7">[1]SERVIÇO!#REF!</definedName>
    <definedName name="bebqt">[1]SERVIÇO!#REF!</definedName>
    <definedName name="CAMP" localSheetId="7">[1]SERVIÇO!#REF!</definedName>
    <definedName name="CAMP">[1]SERVIÇO!#REF!</definedName>
    <definedName name="CHAFQT" localSheetId="7">[1]SERVIÇO!#REF!</definedName>
    <definedName name="CHAFQT">[1]SERVIÇO!#REF!</definedName>
    <definedName name="cho" localSheetId="5">#REF!</definedName>
    <definedName name="cho" localSheetId="1">#REF!</definedName>
    <definedName name="cho" localSheetId="3">#REF!</definedName>
    <definedName name="cho" localSheetId="4">#REF!</definedName>
    <definedName name="cho" localSheetId="0">#REF!</definedName>
    <definedName name="cho">#REF!</definedName>
    <definedName name="ci" localSheetId="5">#REF!</definedName>
    <definedName name="ci" localSheetId="1">#REF!</definedName>
    <definedName name="ci" localSheetId="3">#REF!</definedName>
    <definedName name="ci" localSheetId="4">#REF!</definedName>
    <definedName name="ci" localSheetId="0">#REF!</definedName>
    <definedName name="ci">#REF!</definedName>
    <definedName name="COD_ATRIUM" localSheetId="5">#REF!</definedName>
    <definedName name="COD_ATRIUM" localSheetId="1">#REF!</definedName>
    <definedName name="COD_ATRIUM" localSheetId="3">#REF!</definedName>
    <definedName name="COD_ATRIUM" localSheetId="4">#REF!</definedName>
    <definedName name="COD_ATRIUM" localSheetId="0">#REF!</definedName>
    <definedName name="COD_ATRIUM">#REF!</definedName>
    <definedName name="COD_SINAPI" localSheetId="5">#REF!</definedName>
    <definedName name="COD_SINAPI" localSheetId="1">#REF!</definedName>
    <definedName name="COD_SINAPI" localSheetId="3">#REF!</definedName>
    <definedName name="COD_SINAPI" localSheetId="4">#REF!</definedName>
    <definedName name="COD_SINAPI" localSheetId="0">#REF!</definedName>
    <definedName name="COD_SINAPI">#REF!</definedName>
    <definedName name="COLSUB" localSheetId="7">[1]SERVIÇO!#REF!</definedName>
    <definedName name="COLSUB">[1]SERVIÇO!#REF!</definedName>
    <definedName name="CONT1" localSheetId="7">[1]SERVIÇO!#REF!</definedName>
    <definedName name="CONT1">[1]SERVIÇO!#REF!</definedName>
    <definedName name="CONT2" localSheetId="7">[1]SERVIÇO!#REF!</definedName>
    <definedName name="CONT2">[1]SERVIÇO!#REF!</definedName>
    <definedName name="CONT3" localSheetId="7">[1]SERVIÇO!#REF!</definedName>
    <definedName name="CONT3">[1]SERVIÇO!#REF!</definedName>
    <definedName name="CONTAIT" localSheetId="7">[1]SERVIÇO!#REF!</definedName>
    <definedName name="CONTAIT">[1]SERVIÇO!#REF!</definedName>
    <definedName name="CONTREC" localSheetId="7">[1]SERVIÇO!#REF!</definedName>
    <definedName name="CONTREC">[1]SERVIÇO!#REF!</definedName>
    <definedName name="CONTRES" localSheetId="7">[1]SERVIÇO!#REF!</definedName>
    <definedName name="CONTRES">[1]SERVIÇO!#REF!</definedName>
    <definedName name="CRITERX" localSheetId="7">[1]SERVIÇO!#REF!</definedName>
    <definedName name="CRITERX">[1]SERVIÇO!#REF!</definedName>
    <definedName name="DERIVQT" localSheetId="7">[1]SERVIÇO!#REF!</definedName>
    <definedName name="DERIVQT">[1]SERVIÇO!#REF!</definedName>
    <definedName name="descnt" localSheetId="7">#REF!</definedName>
    <definedName name="descnt">#REF!</definedName>
    <definedName name="descont" localSheetId="7">#REF!</definedName>
    <definedName name="descont">#REF!</definedName>
    <definedName name="DIFQT" localSheetId="7">[1]SERVIÇO!#REF!</definedName>
    <definedName name="DIFQT">[1]SERVIÇO!#REF!</definedName>
    <definedName name="EQPOTENC" localSheetId="7">[1]SERVIÇO!#REF!</definedName>
    <definedName name="EQPOTENC">[1]SERVIÇO!#REF!</definedName>
    <definedName name="FCRITER" localSheetId="7">[1]SERVIÇO!#REF!</definedName>
    <definedName name="FCRITER">[1]SERVIÇO!#REF!</definedName>
    <definedName name="HOJE" localSheetId="7">[1]SERVIÇO!#REF!</definedName>
    <definedName name="HOJE">[1]SERVIÇO!#REF!</definedName>
    <definedName name="IMPF" localSheetId="7">[1]SERVIÇO!#REF!</definedName>
    <definedName name="IMPF">[1]SERVIÇO!#REF!</definedName>
    <definedName name="IMPI" localSheetId="7">[1]SERVIÇO!#REF!</definedName>
    <definedName name="IMPI">[1]SERVIÇO!#REF!</definedName>
    <definedName name="Insumos">'[2]RELAÇÃO - COMPOSIÇÕES E INSUMOS'!$A$7:$D$337</definedName>
    <definedName name="ITEMCONT" localSheetId="7">[1]SERVIÇO!#REF!</definedName>
    <definedName name="ITEMCONT">[1]SERVIÇO!#REF!</definedName>
    <definedName name="ITEMDER" localSheetId="7">[1]SERVIÇO!#REF!</definedName>
    <definedName name="ITEMDER">[1]SERVIÇO!#REF!</definedName>
    <definedName name="ITEMEQP" localSheetId="7">[1]SERVIÇO!#REF!</definedName>
    <definedName name="ITEMEQP">[1]SERVIÇO!#REF!</definedName>
    <definedName name="ITEMMUR" localSheetId="7">[1]SERVIÇO!#REF!</definedName>
    <definedName name="ITEMMUR">[1]SERVIÇO!#REF!</definedName>
    <definedName name="ITEMR15" localSheetId="7">[1]SERVIÇO!#REF!</definedName>
    <definedName name="ITEMR15">[1]SERVIÇO!#REF!</definedName>
    <definedName name="ITEMR20" localSheetId="7">[1]SERVIÇO!#REF!</definedName>
    <definedName name="ITEMR20">[1]SERVIÇO!#REF!</definedName>
    <definedName name="ITEMTRANS" localSheetId="7">[1]SERVIÇO!#REF!</definedName>
    <definedName name="ITEMTRANS">[1]SERVIÇO!#REF!</definedName>
    <definedName name="ITENS" localSheetId="7">[1]SERVIÇO!#REF!</definedName>
    <definedName name="ITENS">[1]SERVIÇO!#REF!</definedName>
    <definedName name="ITENS0" localSheetId="7">[1]SERVIÇO!#REF!</definedName>
    <definedName name="ITENS0">[1]SERVIÇO!#REF!</definedName>
    <definedName name="ITENS1" localSheetId="7">[1]SERVIÇO!#REF!</definedName>
    <definedName name="ITENS1">[1]SERVIÇO!#REF!</definedName>
    <definedName name="ITENSP" localSheetId="7">[1]SERVIÇO!#REF!</definedName>
    <definedName name="ITENSP">[1]SERVIÇO!#REF!</definedName>
    <definedName name="ITENSPMED" localSheetId="7">[1]SERVIÇO!#REF!</definedName>
    <definedName name="ITENSPMED">[1]SERVIÇO!#REF!</definedName>
    <definedName name="jazida5" localSheetId="5">#REF!</definedName>
    <definedName name="jazida5" localSheetId="1">#REF!</definedName>
    <definedName name="jazida5" localSheetId="3">#REF!</definedName>
    <definedName name="jazida5" localSheetId="4">#REF!</definedName>
    <definedName name="jazida5" localSheetId="0">#REF!</definedName>
    <definedName name="jazida5">#REF!</definedName>
    <definedName name="jazida6" localSheetId="5">#REF!</definedName>
    <definedName name="jazida6" localSheetId="1">#REF!</definedName>
    <definedName name="jazida6" localSheetId="3">#REF!</definedName>
    <definedName name="jazida6" localSheetId="4">#REF!</definedName>
    <definedName name="jazida6" localSheetId="0">#REF!</definedName>
    <definedName name="jazida6">#REF!</definedName>
    <definedName name="LIN" localSheetId="7">[1]SERVIÇO!#REF!</definedName>
    <definedName name="LIN">[1]SERVIÇO!#REF!</definedName>
    <definedName name="LISTSEL" localSheetId="7">[1]SERVIÇO!#REF!</definedName>
    <definedName name="LISTSEL">[1]SERVIÇO!#REF!</definedName>
    <definedName name="LOCAB" localSheetId="7">[1]SERVIÇO!#REF!</definedName>
    <definedName name="LOCAB">[1]SERVIÇO!#REF!</definedName>
    <definedName name="LOCAL" localSheetId="7">[1]SERVIÇO!#REF!</definedName>
    <definedName name="LOCAL">[1]SERVIÇO!#REF!</definedName>
    <definedName name="ls" localSheetId="5">#REF!</definedName>
    <definedName name="ls" localSheetId="1">#REF!</definedName>
    <definedName name="ls" localSheetId="3">#REF!</definedName>
    <definedName name="ls" localSheetId="4">#REF!</definedName>
    <definedName name="ls" localSheetId="0">#REF!</definedName>
    <definedName name="ls">#REF!</definedName>
    <definedName name="lub" localSheetId="5">#REF!</definedName>
    <definedName name="lub" localSheetId="1">#REF!</definedName>
    <definedName name="lub" localSheetId="3">#REF!</definedName>
    <definedName name="lub" localSheetId="4">#REF!</definedName>
    <definedName name="lub" localSheetId="0">#REF!</definedName>
    <definedName name="lub">#REF!</definedName>
    <definedName name="MARCAX" localSheetId="7">[1]SERVIÇO!#REF!</definedName>
    <definedName name="MARCAX">[1]SERVIÇO!#REF!</definedName>
    <definedName name="meio" localSheetId="5">#REF!</definedName>
    <definedName name="meio" localSheetId="1">#REF!</definedName>
    <definedName name="meio" localSheetId="3">#REF!</definedName>
    <definedName name="meio" localSheetId="4">#REF!</definedName>
    <definedName name="meio" localSheetId="0">#REF!</definedName>
    <definedName name="meio">#REF!</definedName>
    <definedName name="MENUBOM" localSheetId="7">[1]SERVIÇO!#REF!</definedName>
    <definedName name="MENUBOM">[1]SERVIÇO!#REF!</definedName>
    <definedName name="MENUEQP" localSheetId="7">[1]SERVIÇO!#REF!</definedName>
    <definedName name="MENUEQP">[1]SERVIÇO!#REF!</definedName>
    <definedName name="MENUFIM" localSheetId="7">[1]SERVIÇO!#REF!</definedName>
    <definedName name="MENUFIM">[1]SERVIÇO!#REF!</definedName>
    <definedName name="MENUMED" localSheetId="7">[1]SERVIÇO!#REF!</definedName>
    <definedName name="MENUMED">[1]SERVIÇO!#REF!</definedName>
    <definedName name="MENUOBRA" localSheetId="7">[1]SERVIÇO!#REF!</definedName>
    <definedName name="MENUOBRA">[1]SERVIÇO!#REF!</definedName>
    <definedName name="MENUOUT" localSheetId="7">[1]SERVIÇO!#REF!</definedName>
    <definedName name="MENUOUT">[1]SERVIÇO!#REF!</definedName>
    <definedName name="MENUOUTRO" localSheetId="7">[1]SERVIÇO!#REF!</definedName>
    <definedName name="MENUOUTRO">[1]SERVIÇO!#REF!</definedName>
    <definedName name="menures" localSheetId="7">[1]SERVIÇO!#REF!</definedName>
    <definedName name="menures">[1]SERVIÇO!#REF!</definedName>
    <definedName name="MUNICIPIO" localSheetId="7">[1]SERVIÇO!#REF!</definedName>
    <definedName name="MUNICIPIO">[1]SERVIÇO!#REF!</definedName>
    <definedName name="MURBOMB" localSheetId="7">[1]SERVIÇO!#REF!</definedName>
    <definedName name="MURBOMB">[1]SERVIÇO!#REF!</definedName>
    <definedName name="NDATA" localSheetId="7">[1]SERVIÇO!#REF!</definedName>
    <definedName name="NDATA">[1]SERVIÇO!#REF!</definedName>
    <definedName name="NUCOPIAS" localSheetId="7">[1]SERVIÇO!#REF!</definedName>
    <definedName name="NUCOPIAS">[1]SERVIÇO!#REF!</definedName>
    <definedName name="OBRA" localSheetId="7">[1]SERVIÇO!#REF!</definedName>
    <definedName name="OBRA">[1]SERVIÇO!#REF!</definedName>
    <definedName name="OBRADUPL" localSheetId="7">[1]SERVIÇO!#REF!</definedName>
    <definedName name="OBRADUPL">[1]SERVIÇO!#REF!</definedName>
    <definedName name="OBRALOC" localSheetId="7">[1]SERVIÇO!#REF!</definedName>
    <definedName name="OBRALOC">[1]SERVIÇO!#REF!</definedName>
    <definedName name="OBRASEL" localSheetId="7">[1]SERVIÇO!#REF!</definedName>
    <definedName name="OBRASEL">[1]SERVIÇO!#REF!</definedName>
    <definedName name="od" localSheetId="5">#REF!</definedName>
    <definedName name="od" localSheetId="1">#REF!</definedName>
    <definedName name="od" localSheetId="3">#REF!</definedName>
    <definedName name="od" localSheetId="4">#REF!</definedName>
    <definedName name="od" localSheetId="0">#REF!</definedName>
    <definedName name="od">#REF!</definedName>
    <definedName name="of" localSheetId="5">#REF!</definedName>
    <definedName name="of" localSheetId="1">#REF!</definedName>
    <definedName name="of" localSheetId="3">#REF!</definedName>
    <definedName name="of" localSheetId="4">#REF!</definedName>
    <definedName name="of" localSheetId="0">#REF!</definedName>
    <definedName name="of">#REF!</definedName>
    <definedName name="PDER" localSheetId="7">[1]SERVIÇO!#REF!</definedName>
    <definedName name="PDER">[1]SERVIÇO!#REF!</definedName>
    <definedName name="PDIVERS" localSheetId="7">[1]SERVIÇO!#REF!</definedName>
    <definedName name="PDIVERS">[1]SERVIÇO!#REF!</definedName>
    <definedName name="pdm" localSheetId="5">#REF!</definedName>
    <definedName name="pdm" localSheetId="1">#REF!</definedName>
    <definedName name="pdm" localSheetId="3">#REF!</definedName>
    <definedName name="pdm" localSheetId="4">#REF!</definedName>
    <definedName name="pdm" localSheetId="0">#REF!</definedName>
    <definedName name="pdm">#REF!</definedName>
    <definedName name="pedra" localSheetId="5">#REF!</definedName>
    <definedName name="pedra" localSheetId="1">#REF!</definedName>
    <definedName name="pedra" localSheetId="3">#REF!</definedName>
    <definedName name="pedra" localSheetId="4">#REF!</definedName>
    <definedName name="pedra" localSheetId="0">#REF!</definedName>
    <definedName name="pedra">#REF!</definedName>
    <definedName name="PEMD" localSheetId="7">[1]SERVIÇO!#REF!</definedName>
    <definedName name="PEMD">[1]SERVIÇO!#REF!</definedName>
    <definedName name="PIEQUIP" localSheetId="7">[1]SERVIÇO!#REF!</definedName>
    <definedName name="PIEQUIP">[1]SERVIÇO!#REF!</definedName>
    <definedName name="PMUR" localSheetId="7">[1]SERVIÇO!#REF!</definedName>
    <definedName name="PMUR">[1]SERVIÇO!#REF!</definedName>
    <definedName name="port" localSheetId="5">#REF!</definedName>
    <definedName name="port" localSheetId="1">#REF!</definedName>
    <definedName name="port" localSheetId="3">#REF!</definedName>
    <definedName name="port" localSheetId="4">#REF!</definedName>
    <definedName name="port" localSheetId="0">#REF!</definedName>
    <definedName name="port">#REF!</definedName>
    <definedName name="PREF" localSheetId="5">#REF!</definedName>
    <definedName name="PREF" localSheetId="1">#REF!</definedName>
    <definedName name="PREF" localSheetId="3">#REF!</definedName>
    <definedName name="PREF" localSheetId="4">#REF!</definedName>
    <definedName name="PREF" localSheetId="0">#REF!</definedName>
    <definedName name="PREF">#REF!</definedName>
    <definedName name="PTGERAL" localSheetId="7">[1]SERVIÇO!#REF!</definedName>
    <definedName name="PTGERAL">[1]SERVIÇO!#REF!</definedName>
    <definedName name="QTNULO" localSheetId="7">[1]SERVIÇO!#REF!</definedName>
    <definedName name="QTNULO">[1]SERVIÇO!#REF!</definedName>
    <definedName name="QTPADRAO" localSheetId="7">[1]SERVIÇO!#REF!</definedName>
    <definedName name="QTPADRAO">[1]SERVIÇO!#REF!</definedName>
    <definedName name="QTRES" localSheetId="7">[1]SERVIÇO!#REF!</definedName>
    <definedName name="QTRES">[1]SERVIÇO!#REF!</definedName>
    <definedName name="QUANT" localSheetId="7">[1]SERVIÇO!#REF!</definedName>
    <definedName name="QUANT">[1]SERVIÇO!#REF!</definedName>
    <definedName name="QUANTP" localSheetId="7">[1]SERVIÇO!#REF!</definedName>
    <definedName name="QUANTP">[1]SERVIÇO!#REF!</definedName>
    <definedName name="RARQIMP" localSheetId="7">[1]SERVIÇO!#REF!</definedName>
    <definedName name="RARQIMP">[1]SERVIÇO!#REF!</definedName>
    <definedName name="RECADUC" localSheetId="7">[1]SERVIÇO!#REF!</definedName>
    <definedName name="RECADUC">[1]SERVIÇO!#REF!</definedName>
    <definedName name="ridbeb" localSheetId="7">[1]SERVIÇO!#REF!</definedName>
    <definedName name="ridbeb">[1]SERVIÇO!#REF!</definedName>
    <definedName name="RIDCHAF" localSheetId="7">[1]SERVIÇO!#REF!</definedName>
    <definedName name="RIDCHAF">[1]SERVIÇO!#REF!</definedName>
    <definedName name="ridres05" localSheetId="7">[1]SERVIÇO!#REF!</definedName>
    <definedName name="ridres05">[1]SERVIÇO!#REF!</definedName>
    <definedName name="RIDRES10" localSheetId="7">[1]SERVIÇO!#REF!</definedName>
    <definedName name="RIDRES10">[1]SERVIÇO!#REF!</definedName>
    <definedName name="RIDRES15" localSheetId="7">[1]SERVIÇO!#REF!</definedName>
    <definedName name="RIDRES15">[1]SERVIÇO!#REF!</definedName>
    <definedName name="ROMANO" localSheetId="7">[1]SERVIÇO!#REF!</definedName>
    <definedName name="ROMANO">[1]SERVIÇO!#REF!</definedName>
    <definedName name="ROTCOMP" localSheetId="7">[1]SERVIÇO!#REF!</definedName>
    <definedName name="ROTCOMP">[1]SERVIÇO!#REF!</definedName>
    <definedName name="ROTIMP" localSheetId="7">[1]SERVIÇO!#REF!</definedName>
    <definedName name="ROTIMP">[1]SERVIÇO!#REF!</definedName>
    <definedName name="ROTRES" localSheetId="7">[1]SERVIÇO!#REF!</definedName>
    <definedName name="ROTRES">[1]SERVIÇO!#REF!</definedName>
    <definedName name="RQTADUC" localSheetId="7">[1]SERVIÇO!#REF!</definedName>
    <definedName name="RQTADUC">[1]SERVIÇO!#REF!</definedName>
    <definedName name="rqtbeb" localSheetId="7">[1]SERVIÇO!#REF!</definedName>
    <definedName name="rqtbeb">[1]SERVIÇO!#REF!</definedName>
    <definedName name="RQTCHAF" localSheetId="7">[1]SERVIÇO!#REF!</definedName>
    <definedName name="RQTCHAF">[1]SERVIÇO!#REF!</definedName>
    <definedName name="RQTDERV" localSheetId="7">[1]SERVIÇO!#REF!</definedName>
    <definedName name="RQTDERV">[1]SERVIÇO!#REF!</definedName>
    <definedName name="rres05" localSheetId="7">[1]SERVIÇO!#REF!</definedName>
    <definedName name="rres05">[1]SERVIÇO!#REF!</definedName>
    <definedName name="RRES10" localSheetId="7">[1]SERVIÇO!#REF!</definedName>
    <definedName name="RRES10">[1]SERVIÇO!#REF!</definedName>
    <definedName name="RRES15" localSheetId="7">[1]SERVIÇO!#REF!</definedName>
    <definedName name="RRES15">[1]SERVIÇO!#REF!</definedName>
    <definedName name="RRES20" localSheetId="7">[1]SERVIÇO!#REF!</definedName>
    <definedName name="RRES20">[1]SERVIÇO!#REF!</definedName>
    <definedName name="RRR" localSheetId="7">[1]SERVIÇO!#REF!</definedName>
    <definedName name="RRR">[1]SERVIÇO!#REF!</definedName>
    <definedName name="RRTEMP" localSheetId="7">[1]SERVIÇO!#REF!</definedName>
    <definedName name="RRTEMP">[1]SERVIÇO!#REF!</definedName>
    <definedName name="RSEQ" localSheetId="7">[1]SERVIÇO!#REF!</definedName>
    <definedName name="RSEQ">[1]SERVIÇO!#REF!</definedName>
    <definedName name="RSUBTOT" localSheetId="7">[1]SERVIÇO!#REF!</definedName>
    <definedName name="RSUBTOT">[1]SERVIÇO!#REF!</definedName>
    <definedName name="rtitbeb" localSheetId="7">[1]SERVIÇO!#REF!</definedName>
    <definedName name="rtitbeb">[1]SERVIÇO!#REF!</definedName>
    <definedName name="RTITCHAF" localSheetId="7">[1]SERVIÇO!#REF!</definedName>
    <definedName name="RTITCHAF">[1]SERVIÇO!#REF!</definedName>
    <definedName name="rtubos" localSheetId="7">[1]SERVIÇO!#REF!</definedName>
    <definedName name="rtubos">[1]SERVIÇO!#REF!</definedName>
    <definedName name="ruas" localSheetId="5">#REF!</definedName>
    <definedName name="ruas" localSheetId="1">#REF!</definedName>
    <definedName name="ruas" localSheetId="3">#REF!</definedName>
    <definedName name="ruas" localSheetId="4">#REF!</definedName>
    <definedName name="ruas" localSheetId="0">#REF!</definedName>
    <definedName name="ruas">#REF!</definedName>
    <definedName name="s" localSheetId="5">#REF!</definedName>
    <definedName name="s" localSheetId="1">#REF!</definedName>
    <definedName name="s" localSheetId="3">#REF!</definedName>
    <definedName name="s" localSheetId="4">#REF!</definedName>
    <definedName name="s" localSheetId="0">#REF!</definedName>
    <definedName name="s">#REF!</definedName>
    <definedName name="se" localSheetId="5">#REF!</definedName>
    <definedName name="se" localSheetId="1">#REF!</definedName>
    <definedName name="se" localSheetId="3">#REF!</definedName>
    <definedName name="se" localSheetId="4">#REF!</definedName>
    <definedName name="se" localSheetId="0">#REF!</definedName>
    <definedName name="se">#REF!</definedName>
    <definedName name="SISTEM1" localSheetId="7">[1]SERVIÇO!#REF!</definedName>
    <definedName name="SISTEM1">[1]SERVIÇO!#REF!</definedName>
    <definedName name="SISTEM2" localSheetId="7">[1]SERVIÇO!#REF!</definedName>
    <definedName name="SISTEM2">[1]SERVIÇO!#REF!</definedName>
    <definedName name="SSS" localSheetId="7">[1]SERVIÇO!#REF!</definedName>
    <definedName name="SSS">[1]SERVIÇO!#REF!</definedName>
    <definedName name="SSTEMP" localSheetId="7">[1]SERVIÇO!#REF!</definedName>
    <definedName name="SSTEMP">[1]SERVIÇO!#REF!</definedName>
    <definedName name="SUBDER" localSheetId="7">[1]SERVIÇO!#REF!</definedName>
    <definedName name="SUBDER">[1]SERVIÇO!#REF!</definedName>
    <definedName name="SUBDIV" localSheetId="7">[1]SERVIÇO!#REF!</definedName>
    <definedName name="SUBDIV">[1]SERVIÇO!#REF!</definedName>
    <definedName name="SUBEQP" localSheetId="7">[1]SERVIÇO!#REF!</definedName>
    <definedName name="SUBEQP">[1]SERVIÇO!#REF!</definedName>
    <definedName name="SUBMUR" localSheetId="7">[1]SERVIÇO!#REF!</definedName>
    <definedName name="SUBMUR">[1]SERVIÇO!#REF!</definedName>
    <definedName name="sx" localSheetId="5">#REF!</definedName>
    <definedName name="sx" localSheetId="1">#REF!</definedName>
    <definedName name="sx" localSheetId="3">#REF!</definedName>
    <definedName name="sx" localSheetId="4">#REF!</definedName>
    <definedName name="sx" localSheetId="0">#REF!</definedName>
    <definedName name="sx">#REF!</definedName>
    <definedName name="tb100cm" localSheetId="5">#REF!</definedName>
    <definedName name="tb100cm" localSheetId="1">#REF!</definedName>
    <definedName name="tb100cm" localSheetId="3">#REF!</definedName>
    <definedName name="tb100cm" localSheetId="4">#REF!</definedName>
    <definedName name="tb100cm" localSheetId="0">#REF!</definedName>
    <definedName name="tb100cm">#REF!</definedName>
    <definedName name="titbeb" localSheetId="7">[1]SERVIÇO!#REF!</definedName>
    <definedName name="titbeb">[1]SERVIÇO!#REF!</definedName>
    <definedName name="TITCHAF" localSheetId="7">[1]SERVIÇO!#REF!</definedName>
    <definedName name="TITCHAF">[1]SERVIÇO!#REF!</definedName>
    <definedName name="_xlnm.Print_Titles" localSheetId="0">'Planilha - BARRAGEM'!$4:$11</definedName>
    <definedName name="total" localSheetId="5">#REF!</definedName>
    <definedName name="total" localSheetId="1">#REF!</definedName>
    <definedName name="total" localSheetId="3">#REF!</definedName>
    <definedName name="total" localSheetId="4">#REF!</definedName>
    <definedName name="total" localSheetId="0">#REF!</definedName>
    <definedName name="total">#REF!</definedName>
    <definedName name="TOTQTS" localSheetId="7">[1]SERVIÇO!#REF!</definedName>
    <definedName name="TOTQTS">[1]SERVIÇO!#REF!</definedName>
    <definedName name="TTT" localSheetId="7">[1]SERVIÇO!#REF!</definedName>
    <definedName name="TTT">[1]SERVIÇO!#REF!</definedName>
    <definedName name="TXTEQUIP" localSheetId="7">[1]SERVIÇO!#REF!</definedName>
    <definedName name="TXTEQUIP">[1]SERVIÇO!#REF!</definedName>
    <definedName name="TXTMARCA" localSheetId="7">[1]SERVIÇO!#REF!</definedName>
    <definedName name="TXTMARCA">[1]SERVIÇO!#REF!</definedName>
    <definedName name="TXTMOD" localSheetId="7">[1]SERVIÇO!#REF!</definedName>
    <definedName name="TXTMOD">[1]SERVIÇO!#REF!</definedName>
    <definedName name="TXTPOT" localSheetId="7">[1]SERVIÇO!#REF!</definedName>
    <definedName name="TXTPOT">[1]SERVIÇO!#REF!</definedName>
    <definedName name="WITENS" localSheetId="7">[1]SERVIÇO!#REF!</definedName>
    <definedName name="WITENS">[1]SERVIÇO!#REF!</definedName>
    <definedName name="WNMLOCAL" localSheetId="7">[1]SERVIÇO!#REF!</definedName>
    <definedName name="WNMLOCAL">[1]SERVIÇO!#REF!</definedName>
    <definedName name="WNMMUN" localSheetId="7">[1]SERVIÇO!#REF!</definedName>
    <definedName name="WNMMUN">[1]SERVIÇO!#REF!</definedName>
    <definedName name="WNMSERV" localSheetId="7">[1]SERVIÇO!#REF!</definedName>
    <definedName name="WNMSERV">[1]SERVIÇO!#REF!</definedName>
    <definedName name="XALFA" localSheetId="7">[1]SERVIÇO!#REF!</definedName>
    <definedName name="XALFA">[1]SERVIÇO!#REF!</definedName>
    <definedName name="XDATA" localSheetId="7">[1]SERVIÇO!#REF!</definedName>
    <definedName name="XDATA">[1]SERVIÇO!#REF!</definedName>
    <definedName name="XITEM" localSheetId="7">[1]SERVIÇO!#REF!</definedName>
    <definedName name="XITEM">[1]SERVIÇO!#REF!</definedName>
    <definedName name="XLOC" localSheetId="7">[1]SERVIÇO!#REF!</definedName>
    <definedName name="XLOC">[1]SERVIÇO!#REF!</definedName>
    <definedName name="xnInforme_quantos_bebedouros____bebqt__if_bebqt__0__xlQt.bebedouros_invalida___ENTER_p_reinformar__xresp__branch_rqtderv" localSheetId="7">[1]SERVIÇO!#REF!</definedName>
    <definedName name="xnInforme_quantos_bebedouros____bebqt__if_bebqt__0__xlQt.bebedouros_invalida___ENTER_p_reinformar__xresp__branch_rqtderv">[1]SERVIÇO!#REF!</definedName>
    <definedName name="XNUCOPIAS" localSheetId="7">[1]SERVIÇO!#REF!</definedName>
    <definedName name="XNUCOPIAS">[1]SERVIÇO!#REF!</definedName>
    <definedName name="XRESP" localSheetId="7">[1]SERVIÇO!#REF!</definedName>
    <definedName name="XRESP">[1]SERVIÇO!#REF!</definedName>
    <definedName name="XTITRES" localSheetId="7">[1]SERVIÇO!#REF!</definedName>
    <definedName name="XTITRES">[1]SERVIÇO!#REF!</definedName>
    <definedName name="ZECA" localSheetId="7">[1]SERVIÇO!#REF!</definedName>
    <definedName name="ZECA">[1]SERVIÇO!#REF!</definedName>
  </definedNames>
  <calcPr calcId="152511" iterateDelta="1E-4"/>
</workbook>
</file>

<file path=xl/calcChain.xml><?xml version="1.0" encoding="utf-8"?>
<calcChain xmlns="http://schemas.openxmlformats.org/spreadsheetml/2006/main">
  <c r="E21" i="101" l="1"/>
  <c r="E20" i="101"/>
  <c r="A21" i="101"/>
  <c r="B21" i="101"/>
  <c r="C21" i="101"/>
  <c r="A22" i="101"/>
  <c r="B22" i="101"/>
  <c r="C22" i="101"/>
  <c r="A23" i="101"/>
  <c r="B23" i="101"/>
  <c r="C23" i="101"/>
  <c r="O22" i="101"/>
  <c r="O21" i="101"/>
  <c r="C20" i="101"/>
  <c r="B20" i="101"/>
  <c r="A20" i="101"/>
  <c r="B19" i="101"/>
  <c r="A19" i="101"/>
  <c r="E14" i="101"/>
  <c r="F28" i="81" s="1"/>
  <c r="E13" i="101"/>
  <c r="F27" i="81" s="1"/>
  <c r="E12" i="101"/>
  <c r="F26" i="81" s="1"/>
  <c r="F32" i="81"/>
  <c r="F31" i="81"/>
  <c r="F30" i="81"/>
  <c r="E15" i="101"/>
  <c r="F29" i="81" s="1"/>
  <c r="A13" i="101"/>
  <c r="B13" i="101"/>
  <c r="C13" i="101"/>
  <c r="A14" i="101"/>
  <c r="B14" i="101"/>
  <c r="C14" i="101"/>
  <c r="A15" i="101"/>
  <c r="B15" i="101"/>
  <c r="C15" i="101"/>
  <c r="A16" i="101"/>
  <c r="B16" i="101"/>
  <c r="C16" i="101"/>
  <c r="A17" i="101"/>
  <c r="B17" i="101"/>
  <c r="C17" i="101"/>
  <c r="A18" i="101"/>
  <c r="B18" i="101"/>
  <c r="C18" i="101"/>
  <c r="C12" i="101"/>
  <c r="B12" i="101"/>
  <c r="A12" i="101"/>
  <c r="B11" i="101"/>
  <c r="A11" i="101"/>
  <c r="B10" i="101"/>
  <c r="A10" i="101"/>
  <c r="B9" i="101"/>
  <c r="A9" i="101"/>
  <c r="C9" i="101"/>
  <c r="B8" i="101"/>
  <c r="A8" i="101"/>
  <c r="A5" i="101"/>
  <c r="A5" i="100"/>
  <c r="O17" i="101"/>
  <c r="O16" i="101"/>
  <c r="Q8" i="101" s="1"/>
  <c r="K12" i="101"/>
  <c r="H14" i="101" s="1"/>
  <c r="H8" i="101"/>
  <c r="J14" i="101" s="1"/>
  <c r="A46" i="100"/>
  <c r="A45" i="100"/>
  <c r="E72" i="100"/>
  <c r="E74" i="100" s="1"/>
  <c r="E69" i="100"/>
  <c r="E67" i="100"/>
  <c r="E66" i="100"/>
  <c r="E65" i="100"/>
  <c r="E64" i="100"/>
  <c r="E61" i="100"/>
  <c r="E60" i="100"/>
  <c r="E58" i="100"/>
  <c r="E57" i="100"/>
  <c r="E56" i="100"/>
  <c r="E76" i="100" s="1"/>
  <c r="E73" i="100" s="1"/>
  <c r="E55" i="100"/>
  <c r="E54" i="100"/>
  <c r="E52" i="100"/>
  <c r="D50" i="100"/>
  <c r="B50" i="100"/>
  <c r="E166" i="100"/>
  <c r="G166" i="100" s="1"/>
  <c r="B166" i="100"/>
  <c r="E165" i="100"/>
  <c r="G165" i="100" s="1"/>
  <c r="B165" i="100"/>
  <c r="E164" i="100"/>
  <c r="G164" i="100" s="1"/>
  <c r="B164" i="100"/>
  <c r="E163" i="100"/>
  <c r="G163" i="100" s="1"/>
  <c r="B163" i="100"/>
  <c r="E162" i="100"/>
  <c r="G162" i="100" s="1"/>
  <c r="E161" i="100"/>
  <c r="G161" i="100" s="1"/>
  <c r="E160" i="100"/>
  <c r="G160" i="100" s="1"/>
  <c r="E159" i="100"/>
  <c r="G159" i="100" s="1"/>
  <c r="E158" i="100"/>
  <c r="G158" i="100" s="1"/>
  <c r="E157" i="100"/>
  <c r="G157" i="100" s="1"/>
  <c r="E156" i="100"/>
  <c r="G156" i="100" s="1"/>
  <c r="E155" i="100"/>
  <c r="G155" i="100" s="1"/>
  <c r="H155" i="100" s="1"/>
  <c r="L14" i="101" l="1"/>
  <c r="H12" i="101"/>
  <c r="E75" i="100"/>
  <c r="H156" i="100"/>
  <c r="H157" i="100" s="1"/>
  <c r="H158" i="100" s="1"/>
  <c r="H159" i="100" s="1"/>
  <c r="H160" i="100" s="1"/>
  <c r="H161" i="100" s="1"/>
  <c r="H162" i="100" s="1"/>
  <c r="H163" i="100" s="1"/>
  <c r="H164" i="100" s="1"/>
  <c r="H165" i="100" s="1"/>
  <c r="H166" i="100" s="1"/>
  <c r="H170" i="100"/>
  <c r="H176" i="100" s="1"/>
  <c r="G50" i="97"/>
  <c r="F50" i="97"/>
  <c r="E50" i="97"/>
  <c r="D50" i="97"/>
  <c r="G46" i="97"/>
  <c r="F46" i="97"/>
  <c r="E46" i="97"/>
  <c r="D46" i="97"/>
  <c r="G39" i="97"/>
  <c r="G52" i="97" s="1"/>
  <c r="F39" i="97"/>
  <c r="F52" i="97" s="1"/>
  <c r="E39" i="97"/>
  <c r="E52" i="97" s="1"/>
  <c r="D39" i="97"/>
  <c r="D52" i="97" s="1"/>
  <c r="G27" i="97"/>
  <c r="F27" i="97"/>
  <c r="E27" i="97"/>
  <c r="D27" i="97"/>
  <c r="C25" i="98"/>
  <c r="C28" i="98" s="1"/>
  <c r="C35" i="98" s="1"/>
  <c r="D8" i="81" s="1"/>
  <c r="H42" i="81" s="1"/>
  <c r="I42" i="81" s="1"/>
  <c r="C20" i="98"/>
  <c r="C16" i="98"/>
  <c r="D26" i="77"/>
  <c r="D29" i="77" s="1"/>
  <c r="D36" i="77" s="1"/>
  <c r="D21" i="77"/>
  <c r="D17" i="77"/>
  <c r="H41" i="74"/>
  <c r="H40" i="74"/>
  <c r="H39" i="74"/>
  <c r="H38" i="74"/>
  <c r="H37" i="74"/>
  <c r="H36" i="74"/>
  <c r="H35" i="74"/>
  <c r="H34" i="74"/>
  <c r="H33" i="74"/>
  <c r="H42" i="74" s="1"/>
  <c r="H32" i="74"/>
  <c r="H25" i="74"/>
  <c r="H24" i="74"/>
  <c r="H27" i="74" s="1"/>
  <c r="H23" i="74"/>
  <c r="H15" i="74"/>
  <c r="H14" i="74"/>
  <c r="H16" i="74" s="1"/>
  <c r="A7" i="74"/>
  <c r="H22" i="84"/>
  <c r="H24" i="84" s="1"/>
  <c r="A27" i="84" s="1"/>
  <c r="C16" i="84"/>
  <c r="F27" i="84" s="1"/>
  <c r="F26" i="74" s="1"/>
  <c r="H26" i="74" s="1"/>
  <c r="A5" i="84"/>
  <c r="B23" i="82"/>
  <c r="A23" i="82"/>
  <c r="B21" i="82"/>
  <c r="A21" i="82"/>
  <c r="B19" i="82"/>
  <c r="A19" i="82"/>
  <c r="B17" i="82"/>
  <c r="A17" i="82"/>
  <c r="B15" i="82"/>
  <c r="A15" i="82"/>
  <c r="B13" i="82"/>
  <c r="A13" i="82"/>
  <c r="B11" i="82"/>
  <c r="A11" i="82"/>
  <c r="A5" i="82"/>
  <c r="F50" i="81"/>
  <c r="N49" i="81"/>
  <c r="I41" i="81"/>
  <c r="P22" i="81"/>
  <c r="J41" i="81" l="1"/>
  <c r="H10" i="74"/>
  <c r="G7" i="81"/>
  <c r="H9" i="74"/>
  <c r="D7" i="81"/>
  <c r="H32" i="81" s="1"/>
  <c r="I32" i="81" s="1"/>
  <c r="G17" i="81"/>
  <c r="H17" i="81" s="1"/>
  <c r="I17" i="81" s="1"/>
  <c r="G16" i="81"/>
  <c r="J42" i="81"/>
  <c r="H16" i="81" l="1"/>
  <c r="I16" i="81" s="1"/>
  <c r="J32" i="81"/>
  <c r="J16" i="81"/>
  <c r="J17" i="81"/>
  <c r="H43" i="81"/>
  <c r="I43" i="81" s="1"/>
  <c r="H35" i="81"/>
  <c r="I35" i="81" s="1"/>
  <c r="H31" i="81"/>
  <c r="I31" i="81" s="1"/>
  <c r="H37" i="81"/>
  <c r="I37" i="81" s="1"/>
  <c r="H49" i="81"/>
  <c r="I49" i="81" s="1"/>
  <c r="J49" i="81" s="1"/>
  <c r="H28" i="81"/>
  <c r="I28" i="81" s="1"/>
  <c r="H14" i="81"/>
  <c r="I14" i="81" s="1"/>
  <c r="J14" i="81" s="1"/>
  <c r="H30" i="81"/>
  <c r="I30" i="81" s="1"/>
  <c r="H48" i="81"/>
  <c r="I48" i="81" s="1"/>
  <c r="H19" i="81"/>
  <c r="I19" i="81" s="1"/>
  <c r="H27" i="81"/>
  <c r="I27" i="81" s="1"/>
  <c r="H51" i="81"/>
  <c r="I51" i="81" s="1"/>
  <c r="J51" i="81" s="1"/>
  <c r="H44" i="81"/>
  <c r="I44" i="81" s="1"/>
  <c r="H36" i="81"/>
  <c r="I36" i="81" s="1"/>
  <c r="H15" i="81"/>
  <c r="I15" i="81" s="1"/>
  <c r="J15" i="81" s="1"/>
  <c r="H26" i="81"/>
  <c r="I26" i="81" s="1"/>
  <c r="H38" i="81"/>
  <c r="I38" i="81" s="1"/>
  <c r="H50" i="81"/>
  <c r="I50" i="81" s="1"/>
  <c r="J50" i="81" s="1"/>
  <c r="H29" i="81"/>
  <c r="I29" i="81" s="1"/>
  <c r="H22" i="81"/>
  <c r="I22" i="81" s="1"/>
  <c r="E43" i="74"/>
  <c r="H43" i="74" s="1"/>
  <c r="H44" i="74" s="1"/>
  <c r="H18" i="81" s="1"/>
  <c r="E28" i="74"/>
  <c r="H28" i="74" s="1"/>
  <c r="H29" i="74" s="1"/>
  <c r="E17" i="74"/>
  <c r="H17" i="74" s="1"/>
  <c r="H18" i="74" s="1"/>
  <c r="H19" i="74" s="1"/>
  <c r="I33" i="81" l="1"/>
  <c r="J29" i="81"/>
  <c r="J28" i="81"/>
  <c r="J30" i="81"/>
  <c r="J26" i="81"/>
  <c r="J37" i="81"/>
  <c r="J31" i="81"/>
  <c r="J36" i="81"/>
  <c r="I39" i="81"/>
  <c r="J35" i="81"/>
  <c r="J22" i="81"/>
  <c r="J23" i="81" s="1"/>
  <c r="C13" i="82" s="1"/>
  <c r="I23" i="81"/>
  <c r="J44" i="81"/>
  <c r="J43" i="81"/>
  <c r="I45" i="81"/>
  <c r="H20" i="74"/>
  <c r="H13" i="81"/>
  <c r="J27" i="81"/>
  <c r="J38" i="81"/>
  <c r="J19" i="81"/>
  <c r="G18" i="81"/>
  <c r="I18" i="81"/>
  <c r="I52" i="81"/>
  <c r="J48" i="81"/>
  <c r="J52" i="81" s="1"/>
  <c r="C23" i="82" s="1"/>
  <c r="J33" i="81" l="1"/>
  <c r="J45" i="81"/>
  <c r="C21" i="82" s="1"/>
  <c r="E21" i="82" s="1"/>
  <c r="E22" i="82" s="1"/>
  <c r="J39" i="81"/>
  <c r="C19" i="82" s="1"/>
  <c r="I19" i="82" s="1"/>
  <c r="I20" i="82" s="1"/>
  <c r="I46" i="81"/>
  <c r="J18" i="81"/>
  <c r="F13" i="82"/>
  <c r="F14" i="82" s="1"/>
  <c r="E13" i="82"/>
  <c r="D13" i="82"/>
  <c r="G13" i="82"/>
  <c r="G14" i="82" s="1"/>
  <c r="I13" i="82"/>
  <c r="I14" i="82" s="1"/>
  <c r="H13" i="82"/>
  <c r="H14" i="82" s="1"/>
  <c r="E23" i="82"/>
  <c r="E24" i="82" s="1"/>
  <c r="D23" i="82"/>
  <c r="F23" i="82"/>
  <c r="F24" i="82" s="1"/>
  <c r="I23" i="82"/>
  <c r="I24" i="82" s="1"/>
  <c r="H23" i="82"/>
  <c r="H24" i="82" s="1"/>
  <c r="G23" i="82"/>
  <c r="G24" i="82" s="1"/>
  <c r="G13" i="81"/>
  <c r="I13" i="81"/>
  <c r="G21" i="82" l="1"/>
  <c r="G22" i="82" s="1"/>
  <c r="H21" i="82"/>
  <c r="H22" i="82" s="1"/>
  <c r="D21" i="82"/>
  <c r="D22" i="82" s="1"/>
  <c r="F21" i="82"/>
  <c r="F22" i="82" s="1"/>
  <c r="I21" i="82"/>
  <c r="I22" i="82" s="1"/>
  <c r="N34" i="81"/>
  <c r="E19" i="82"/>
  <c r="E20" i="82" s="1"/>
  <c r="H19" i="82"/>
  <c r="H20" i="82" s="1"/>
  <c r="F19" i="82"/>
  <c r="F20" i="82" s="1"/>
  <c r="G19" i="82"/>
  <c r="G20" i="82" s="1"/>
  <c r="D19" i="82"/>
  <c r="D20" i="82" s="1"/>
  <c r="I20" i="81"/>
  <c r="N13" i="81"/>
  <c r="N20" i="81" s="1"/>
  <c r="J13" i="81"/>
  <c r="J20" i="81" s="1"/>
  <c r="E14" i="82"/>
  <c r="N40" i="81"/>
  <c r="D24" i="82"/>
  <c r="J24" i="82" s="1"/>
  <c r="J23" i="82"/>
  <c r="D14" i="82"/>
  <c r="J13" i="82"/>
  <c r="C17" i="82"/>
  <c r="J46" i="81"/>
  <c r="C15" i="82" s="1"/>
  <c r="J21" i="82" l="1"/>
  <c r="J22" i="82"/>
  <c r="J19" i="82"/>
  <c r="J20" i="82"/>
  <c r="I54" i="81"/>
  <c r="H17" i="82"/>
  <c r="G17" i="82"/>
  <c r="F17" i="82"/>
  <c r="E17" i="82"/>
  <c r="D17" i="82"/>
  <c r="I17" i="82"/>
  <c r="C11" i="82"/>
  <c r="J54" i="81"/>
  <c r="J20" i="74" s="1"/>
  <c r="J14" i="82"/>
  <c r="N24" i="81"/>
  <c r="G18" i="82" l="1"/>
  <c r="G15" i="82"/>
  <c r="G16" i="82" s="1"/>
  <c r="C25" i="82"/>
  <c r="I11" i="82"/>
  <c r="H11" i="82"/>
  <c r="G11" i="82"/>
  <c r="D11" i="82"/>
  <c r="E12" i="82"/>
  <c r="F11" i="82"/>
  <c r="I18" i="82"/>
  <c r="I15" i="82"/>
  <c r="I16" i="82" s="1"/>
  <c r="D18" i="82"/>
  <c r="D15" i="82"/>
  <c r="J17" i="82"/>
  <c r="E18" i="82"/>
  <c r="E15" i="82"/>
  <c r="F18" i="82"/>
  <c r="F15" i="82"/>
  <c r="F16" i="82" s="1"/>
  <c r="H18" i="82"/>
  <c r="H15" i="82"/>
  <c r="H16" i="82" s="1"/>
  <c r="J18" i="82" l="1"/>
  <c r="I25" i="82"/>
  <c r="I27" i="82" s="1"/>
  <c r="I12" i="82"/>
  <c r="D12" i="82"/>
  <c r="J11" i="82"/>
  <c r="D25" i="82"/>
  <c r="H25" i="82"/>
  <c r="H12" i="82"/>
  <c r="F25" i="82"/>
  <c r="F12" i="82"/>
  <c r="G25" i="82"/>
  <c r="G27" i="82" s="1"/>
  <c r="G12" i="82"/>
  <c r="E16" i="82"/>
  <c r="E25" i="82"/>
  <c r="E27" i="82" s="1"/>
  <c r="D16" i="82"/>
  <c r="J15" i="82"/>
  <c r="J16" i="82" l="1"/>
  <c r="F27" i="82"/>
  <c r="F28" i="82"/>
  <c r="G28" i="82" s="1"/>
  <c r="H27" i="82"/>
  <c r="H28" i="82"/>
  <c r="I28" i="82" s="1"/>
  <c r="J25" i="82"/>
  <c r="D27" i="82"/>
  <c r="D28" i="82"/>
  <c r="E28" i="82" s="1"/>
  <c r="J12" i="82"/>
  <c r="D29" i="82" l="1"/>
  <c r="E29" i="82" s="1"/>
  <c r="F29" i="82" s="1"/>
  <c r="G29" i="82" s="1"/>
  <c r="H29" i="82" s="1"/>
  <c r="I29" i="82" s="1"/>
  <c r="J27" i="82"/>
</calcChain>
</file>

<file path=xl/sharedStrings.xml><?xml version="1.0" encoding="utf-8"?>
<sst xmlns="http://schemas.openxmlformats.org/spreadsheetml/2006/main" count="621" uniqueCount="404">
  <si>
    <t xml:space="preserve">        MINISTÉRIO DO DESENVOLVIMENTO REGIONAL</t>
  </si>
  <si>
    <t>% DE RESERVA DE CONTINGÊNCIA (TAXA DE RISCO DA MATRIZ)</t>
  </si>
  <si>
    <t xml:space="preserve">        COMPANHIA DE DESENVOLVIMENTO DOS VALES DO SÃO FRANCISCO E DO PARNAÍBA</t>
  </si>
  <si>
    <t xml:space="preserve">        2.ª GRD da 2ª SUPERINTENDÊNCIA REGIONAL- Bom Jesus da Lapa/Ba.</t>
  </si>
  <si>
    <t>EXECUÇÃO DE OBRAS E SERVIÇOS PARA CONSTRUÇÃO DE BARRAGENS DE TERRA VISANDO ATENDER AS COMUNIDADES DA LAPINHA E MONTE ALTO NO MUNICÍPIO DE ANAGÉ, NO ESTADO DA BAHIA, NA ÁREA DE ATUAÇÃO DA 2ª SUPERINTENDÊNCIA REGIONAL</t>
  </si>
  <si>
    <t xml:space="preserve">BDI SERVIÇOS:                                               </t>
  </si>
  <si>
    <t xml:space="preserve">ENCARGOS SOCIAIS: </t>
  </si>
  <si>
    <t xml:space="preserve">BDI FORNECIMENTO:                                               </t>
  </si>
  <si>
    <t>BASE:</t>
  </si>
  <si>
    <t>SINAPI: OUTUBRO/2021; ORSE: SETEMBRO/2021; SICRO: JULHO/2021</t>
  </si>
  <si>
    <t>PLANILHA ORÇAMENTÁRIA - BARRAGEM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</si>
  <si>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</si>
  <si>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</si>
  <si>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</si>
  <si>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</si>
  <si>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</si>
  <si>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</si>
  <si>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</si>
  <si>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PREÇO UNITÁRIO (COM BDI) (R$)</t>
  </si>
  <si>
    <t>TOTAL</t>
  </si>
  <si>
    <t>TOTAL C/ BDI E COM TAXA RISCO DA MATRIZ (R$)</t>
  </si>
  <si>
    <t>SERVIÇOS PRELIMINARES</t>
  </si>
  <si>
    <t>1.1</t>
  </si>
  <si>
    <t>CODEVASF</t>
  </si>
  <si>
    <t>CPU-01</t>
  </si>
  <si>
    <t>Administração local e Manutenção do Canteiro.</t>
  </si>
  <si>
    <t>global</t>
  </si>
  <si>
    <t>1.2</t>
  </si>
  <si>
    <t>SINAPI</t>
  </si>
  <si>
    <t>Locação de container - escritório com banheiro</t>
  </si>
  <si>
    <t>mês</t>
  </si>
  <si>
    <t>1.3</t>
  </si>
  <si>
    <t>ORSE</t>
  </si>
  <si>
    <t>Aluguel de container - almoxarifado sem banheiro - 6,00 x 2,40m</t>
  </si>
  <si>
    <t>1.4</t>
  </si>
  <si>
    <t>CPU-02</t>
  </si>
  <si>
    <t>Mobilização</t>
  </si>
  <si>
    <t>und</t>
  </si>
  <si>
    <t>1.5</t>
  </si>
  <si>
    <t>Desmobilização</t>
  </si>
  <si>
    <t>1.6</t>
  </si>
  <si>
    <t>CPU-03</t>
  </si>
  <si>
    <t>Placa de obra em chapa de aço galvanizada (3,60 X 1,80m).</t>
  </si>
  <si>
    <t>m²</t>
  </si>
  <si>
    <t>1.7</t>
  </si>
  <si>
    <t xml:space="preserve">Locação de serviços de terraplenagem para obras </t>
  </si>
  <si>
    <t>TOTAL DO ITEM 1</t>
  </si>
  <si>
    <t>LIMPEZA DA ÁREA DA BACIA HIDRÁULICA</t>
  </si>
  <si>
    <t>2.1</t>
  </si>
  <si>
    <t>Limpeza mecanizada de camada vegetal, vegetação e pequenas árvores (diâmetro de tronco menor que 0,20 m), com trator de esteiras.af_05/2018</t>
  </si>
  <si>
    <t>TOTAL DO ITEM 2</t>
  </si>
  <si>
    <t>BARRAGEM - LAPINHA</t>
  </si>
  <si>
    <t>3.1</t>
  </si>
  <si>
    <t>Maciço do barramento, fundação e drenagem</t>
  </si>
  <si>
    <t>3.1.1</t>
  </si>
  <si>
    <t>Escavação horizontal, incluindo carga e descarga em solo de 1a. Categoria com trator de esteira (347 HP com lâmina 8,7 m³)</t>
  </si>
  <si>
    <t>m³</t>
  </si>
  <si>
    <t>3.1.2</t>
  </si>
  <si>
    <t>Escavação horizontal, incluindo escarificação, carga e descarga em solo de 2a. Categoria com trator de esteira 347 HP com lâmina 8,7 m³</t>
  </si>
  <si>
    <t>3.1.3</t>
  </si>
  <si>
    <t>Escavação vertical a céu aberto, em obras de infraestrutura, incluindo carga, descarga e transporte, em solo de 1a. Categoria com escavadeira hidráulica (caçamba 0,8 m³/ 111 HP) frota de 3 caminhões basculante de 14 m³, DMT até 1 km e velocidade média de 14 km/h</t>
  </si>
  <si>
    <t>3.1.4</t>
  </si>
  <si>
    <t>Compactação de aterro com rolo vibratório pé de carneiro ou pata tamping de &gt;= 95 a 100% de proctor normal</t>
  </si>
  <si>
    <t>3.1.5</t>
  </si>
  <si>
    <t>SICRO</t>
  </si>
  <si>
    <t>Meio-fio de concreto - MFC 03 - areia e brita comerciais - fôrma de madeira</t>
  </si>
  <si>
    <t>m</t>
  </si>
  <si>
    <t>3.1.6</t>
  </si>
  <si>
    <t xml:space="preserve">Calha meia cana pré-moldada de concreto (d=20 cm) - fornecimento e instalação </t>
  </si>
  <si>
    <t>TOTAL DO SUB-ITEM 3.1</t>
  </si>
  <si>
    <t>3.2</t>
  </si>
  <si>
    <t>Sangradouro</t>
  </si>
  <si>
    <t>3.2.1</t>
  </si>
  <si>
    <t>3.2.2</t>
  </si>
  <si>
    <t>3.2.3</t>
  </si>
  <si>
    <t>Escavação de vala em material de 3a. Categoria</t>
  </si>
  <si>
    <t>3.2.4</t>
  </si>
  <si>
    <t>Alvenaria pedra granitica argamassada traço (1:5) - 1 saco de cimento 50 kg / 5 padiolas areia dim. 0,35 x 0,45 x 0,23 - confecção mecânica e transporte</t>
  </si>
  <si>
    <t>TOTAL DO SUB-ITEM 3.2</t>
  </si>
  <si>
    <t>3.3</t>
  </si>
  <si>
    <t>Descarga de fundo</t>
  </si>
  <si>
    <t>3.3.1</t>
  </si>
  <si>
    <t>Caixa em concreto armado para entrada da tubulação de descarga em fofo, nas dimensões 0,30 x 0,30 x 0,30 metros, assentada sobre concreto magro e=5cm, inclusive forma, escoramento e ferragens</t>
  </si>
  <si>
    <t>3.3.2</t>
  </si>
  <si>
    <t>Fornecimento de tubo em ferro fundido, junta elástica, ponta / bolsa, classe k 9, diam. = 100 mm</t>
  </si>
  <si>
    <t>3.3.3</t>
  </si>
  <si>
    <t>Assentamento de tubo de ferro fundido, DN 100 mm, instalado em local com alto nível de interferência</t>
  </si>
  <si>
    <t>3.3.4</t>
  </si>
  <si>
    <t>Registro de gaveta bruto, latão, roscável 4" - fornecimento e instalação</t>
  </si>
  <si>
    <t>TOTAL DO SUB-ITEM 3.3</t>
  </si>
  <si>
    <t>TOTAL DO ITEM 3</t>
  </si>
  <si>
    <t xml:space="preserve">BARRAGEM - COMUNIDADE MONTE ALTO </t>
  </si>
  <si>
    <t>4.1</t>
  </si>
  <si>
    <t>4.2</t>
  </si>
  <si>
    <t>4.3</t>
  </si>
  <si>
    <t>Transporte com caminhão basculante de 6 m³, em via urbana em leito natural (DMT 1,2 km)</t>
  </si>
  <si>
    <t>m³xkm</t>
  </si>
  <si>
    <t>4.4</t>
  </si>
  <si>
    <t>Espalhamento de material de bota-fora</t>
  </si>
  <si>
    <t>TOTAL DO ITEM 4</t>
  </si>
  <si>
    <t>TOTAL GERAL (R$)</t>
  </si>
  <si>
    <t>MINISTÉRIO DO DESENVOLVIMENTO REGIONAL</t>
  </si>
  <si>
    <t xml:space="preserve">                            COMPANHIA DE DESENVOLVIMENTO DOS VALES DO SÃO FRANCISCO E DO PARNAÍBA</t>
  </si>
  <si>
    <t>2.ª GRD da 2ª SUPERINTENDÊNCIA REGIONAL- Bom Jesus da Lapa/Ba.</t>
  </si>
  <si>
    <t>CRONOGRAMA FÍSICO/FINANCEIRO - BARRAGEM</t>
  </si>
  <si>
    <t xml:space="preserve">ITEM </t>
  </si>
  <si>
    <t>DISCRIMINAÇÃO</t>
  </si>
  <si>
    <t>VALOR (R$)</t>
  </si>
  <si>
    <t>1º  Mês</t>
  </si>
  <si>
    <t>2º  Mês</t>
  </si>
  <si>
    <t>3º  Mês</t>
  </si>
  <si>
    <t>4º  Mês</t>
  </si>
  <si>
    <t>5º  Mês</t>
  </si>
  <si>
    <t>6º  Mês</t>
  </si>
  <si>
    <t>TOTAIS</t>
  </si>
  <si>
    <t>% DO ITEM</t>
  </si>
  <si>
    <t>TOTAL ACUMULADO</t>
  </si>
  <si>
    <t>% ACUMULADA</t>
  </si>
  <si>
    <t>COMPANHIA DE DESENVOLVIMENTO DOS VALES DO SÃO FRANCISCO E DO PARNAÍBA</t>
  </si>
  <si>
    <t>MEMÓRIA DE CÁLCULO DOS MOMENTOS DE TRANSPORTE PARA MOBILIZAÇÃO E DESMOBILIZAÇÃO</t>
  </si>
  <si>
    <t>BARRAGEM ANAGÉ</t>
  </si>
  <si>
    <t>Cidade pólo</t>
  </si>
  <si>
    <t>Vitória da Conquista/Ba</t>
  </si>
  <si>
    <t>Cidade beneficiada</t>
  </si>
  <si>
    <t>Anagé (lapinha)/BA</t>
  </si>
  <si>
    <t>Dist. da Origem ao destino:</t>
  </si>
  <si>
    <t xml:space="preserve"> km</t>
  </si>
  <si>
    <t>Distância Total:</t>
  </si>
  <si>
    <t>Peso das máquinas:</t>
  </si>
  <si>
    <t>Retroescavadeira</t>
  </si>
  <si>
    <t xml:space="preserve"> ton</t>
  </si>
  <si>
    <t>Trator de esteira</t>
  </si>
  <si>
    <t xml:space="preserve">rolo compactador pé de carneiro </t>
  </si>
  <si>
    <t>Rolo compactador liso vibratório 10,4 t</t>
  </si>
  <si>
    <t>Container (2 unidades)</t>
  </si>
  <si>
    <t>Total</t>
  </si>
  <si>
    <t xml:space="preserve"> t x km</t>
  </si>
  <si>
    <t xml:space="preserve">                 MINISTÉRIO DO DESENVOLVIMENTO REGIONAL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</si>
  <si>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</si>
  <si>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</si>
  <si>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PLANILHA COMPOSIÇÕES DE PREÇOS - BARRAGEM</t>
  </si>
  <si>
    <t>BDI (%):</t>
  </si>
  <si>
    <t>ENCARGOS SOCIAIS (%):</t>
  </si>
  <si>
    <t>SINAPI: OUTBRO/2021; ORSE: SETEMBRO/2021; SICRO: JULHO/2021</t>
  </si>
  <si>
    <t>NÃO DESONERADO</t>
  </si>
  <si>
    <t>REF.</t>
  </si>
  <si>
    <t>ADMINISTRAÇÃO LOCAL</t>
  </si>
  <si>
    <t>PRECO UNITÁRIO</t>
  </si>
  <si>
    <t>TOTAL (R$)</t>
  </si>
  <si>
    <t>COMPOSICAO</t>
  </si>
  <si>
    <t>ENCARREGADO GERAL COM ENCARGOS COMPLEMENTARES</t>
  </si>
  <si>
    <t>H</t>
  </si>
  <si>
    <t>ENGENHEIRO CIVIL DE OBRA JUNIOR COM ENCARGOS COMPLEMENTARES</t>
  </si>
  <si>
    <t>Sub total:</t>
  </si>
  <si>
    <t>Total para 6 meses:</t>
  </si>
  <si>
    <t>PREÇO UNITÁRIO TOTAL:</t>
  </si>
  <si>
    <t xml:space="preserve">MOBILIZAÇÃO / DESMOBILIZAÇÃO </t>
  </si>
  <si>
    <t>E9506</t>
  </si>
  <si>
    <t>Caminhão basculante com capacidade de 6 m³ - 136 kW</t>
  </si>
  <si>
    <t>CHP</t>
  </si>
  <si>
    <t>E9571</t>
  </si>
  <si>
    <t>Caminhão tanque com capacidade de 10.000 l - 188 kW</t>
  </si>
  <si>
    <t>Veículo tipo sedan ou pick-up, capacidade 0,6 ton</t>
  </si>
  <si>
    <t>h</t>
  </si>
  <si>
    <t>Transporte com cavalo mecânico com semirreboque, capacidade de 30 T - Rodovia pavimentada</t>
  </si>
  <si>
    <t>t.km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</si>
  <si>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</si>
  <si>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</si>
  <si>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</si>
  <si>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</si>
  <si>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</si>
  <si>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</si>
  <si>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</si>
  <si>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</si>
  <si>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</si>
  <si>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</si>
  <si>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</si>
  <si>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</si>
  <si>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CARPINTEIRO DE FORMAS COM ENCARGOS COMPLEMENTARES</t>
  </si>
  <si>
    <t>SERVENTE COM ENCARGOS COMPLEMENTARES</t>
  </si>
  <si>
    <t>PLANILHA DE DETALHAMENTO DO BDI - BARRAGEM</t>
  </si>
  <si>
    <t>OBRA:</t>
  </si>
  <si>
    <t>MEMÓRIA DE CALCULO DO BDI  DOS SERVIÇOS - NÃO DESONERADO</t>
  </si>
  <si>
    <t>Obras rodoviárias</t>
  </si>
  <si>
    <t>BDI APLICADO NA OBRA (SEM RISCO, SEGURO E GARANTIA)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</si>
  <si>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</si>
  <si>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</si>
  <si>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</si>
  <si>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</si>
  <si>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</si>
  <si>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</si>
  <si>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</si>
  <si>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</si>
  <si>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</si>
  <si>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</si>
  <si>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</si>
  <si>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</si>
  <si>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</si>
  <si>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</si>
  <si>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</si>
  <si>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</si>
  <si>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</si>
  <si>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</si>
  <si>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</si>
  <si>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</si>
  <si>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</si>
  <si>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</si>
  <si>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</si>
  <si>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</si>
  <si>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</si>
  <si>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</si>
  <si>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</si>
  <si>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</si>
  <si>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</si>
  <si>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</si>
  <si>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</si>
  <si>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</si>
  <si>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</si>
  <si>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</si>
  <si>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</si>
  <si>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</si>
  <si>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</si>
  <si>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</si>
  <si>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</si>
  <si>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</si>
  <si>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 xml:space="preserve">PLANILHA DE DETALHAMENTO DO BDI DE FORNECIMENTO DE MATERIAIS </t>
  </si>
  <si>
    <t>BARRAGEM</t>
  </si>
  <si>
    <t>ORGÃO EXECUTOR:</t>
  </si>
  <si>
    <t>Codevasf</t>
  </si>
  <si>
    <t>MEMÓRIA DE CALCULO DO BDI  DOS MATERIAIS  - NÃO DESONERADO</t>
  </si>
  <si>
    <t>BDI APLICADO NA OBRA</t>
  </si>
  <si>
    <t>PERC.     (%)</t>
  </si>
  <si>
    <t>TCU</t>
  </si>
  <si>
    <t>&lt;=16,80%</t>
  </si>
  <si>
    <t>NOME DA CONCORRENTE:</t>
  </si>
  <si>
    <t>EDITAL:</t>
  </si>
  <si>
    <t>FOLHA:</t>
  </si>
  <si>
    <t>DETALHAMENTO DOS ENCARGOS SOCIAIS (%) - BARRAGEM</t>
  </si>
  <si>
    <t>VIGÊNCIA A PARTIR DE 10/2021</t>
  </si>
  <si>
    <t>COM DESONERAÇÃO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</si>
  <si>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</si>
  <si>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</si>
  <si>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</si>
  <si>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</si>
  <si>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</si>
  <si>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</si>
  <si>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</si>
  <si>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</si>
  <si>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</si>
  <si>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</si>
  <si>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</si>
  <si>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</si>
  <si>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</si>
  <si>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</si>
  <si>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</si>
  <si>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</si>
  <si>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</si>
  <si>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</si>
  <si>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</si>
  <si>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</si>
  <si>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</si>
  <si>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</si>
  <si>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</si>
  <si>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</si>
  <si>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</si>
  <si>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</si>
  <si>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</si>
  <si>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</si>
  <si>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</si>
  <si>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</si>
  <si>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</si>
  <si>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</si>
  <si>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</si>
  <si>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</si>
  <si>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</si>
  <si>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</si>
  <si>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</si>
  <si>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</si>
  <si>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</si>
  <si>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</si>
  <si>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</si>
  <si>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</si>
  <si>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</si>
  <si>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</si>
  <si>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</si>
  <si>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</si>
  <si>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</si>
  <si>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</si>
  <si>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</si>
  <si>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</si>
  <si>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</si>
  <si>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</si>
  <si>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</si>
  <si>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</si>
  <si>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</si>
  <si>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</si>
  <si>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</si>
  <si>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</si>
  <si>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</si>
  <si>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</si>
  <si>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</si>
  <si>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3.1.7</t>
  </si>
  <si>
    <t xml:space="preserve">Revestimento vegetal com grama em mudas em superfícies inclinadas </t>
  </si>
  <si>
    <t xml:space="preserve">                          COMPANHIA DE DESENVOLVIMENTO DOS VALES DO SÃO FRANCISCO E DO PARNAÍBA</t>
  </si>
  <si>
    <t>comprimento</t>
  </si>
  <si>
    <t>largura</t>
  </si>
  <si>
    <t>vias</t>
  </si>
  <si>
    <t>área total</t>
  </si>
  <si>
    <t xml:space="preserve">meio fio </t>
  </si>
  <si>
    <t>escavação</t>
  </si>
  <si>
    <t>comp. Meio fio</t>
  </si>
  <si>
    <t>altura</t>
  </si>
  <si>
    <t xml:space="preserve">linhas </t>
  </si>
  <si>
    <t>(*) - Valores calculados diretamente no projeto.</t>
  </si>
  <si>
    <t>MEMÓRIA DE CÁLCULO - BARRAGEM</t>
  </si>
  <si>
    <t>P A R Â M E T R O S   T É C N I C O S   D E   P R O J E T O:</t>
  </si>
  <si>
    <t>Município:</t>
  </si>
  <si>
    <t>ANAGÉ</t>
  </si>
  <si>
    <t>Localidade:</t>
  </si>
  <si>
    <t>LAPINHA</t>
  </si>
  <si>
    <t>Nome do Rio/Riacho</t>
  </si>
  <si>
    <t>RAA</t>
  </si>
  <si>
    <t>Precipitação pluviométrica - P(mm)</t>
  </si>
  <si>
    <t>Tipo do barreiro</t>
  </si>
  <si>
    <t>Terra</t>
  </si>
  <si>
    <t xml:space="preserve">         Largura do espelho d'agua na cota de sangria</t>
  </si>
  <si>
    <t>Área do Espelho  d`água   (Ha)</t>
  </si>
  <si>
    <t>Utilização</t>
  </si>
  <si>
    <t>Consumo</t>
  </si>
  <si>
    <t>MACIÇO</t>
  </si>
  <si>
    <t>Altura do maçico do barreiro - H(m)</t>
  </si>
  <si>
    <t>Comprimento do maciço do barreiro - L(m)</t>
  </si>
  <si>
    <t>Largura da crista do barreiro - C(m)</t>
  </si>
  <si>
    <t>Largura da base(saia)</t>
  </si>
  <si>
    <t>Talude de montante</t>
  </si>
  <si>
    <t>1 Vert : 2 Hor</t>
  </si>
  <si>
    <t>2</t>
  </si>
  <si>
    <t>Talude de jusante</t>
  </si>
  <si>
    <t>SANGRADOURO</t>
  </si>
  <si>
    <t>Tipo de sangradouro</t>
  </si>
  <si>
    <t>Lâmina livre(vide detalhe de projeto)</t>
  </si>
  <si>
    <t xml:space="preserve">Altura máxima dos muros do sangradouro sem fundação(m) </t>
  </si>
  <si>
    <t>Altura da lâmina máxima de sangria(m)</t>
  </si>
  <si>
    <t>E S T U D O   H I D R O L Ó G I C O</t>
  </si>
  <si>
    <t>O estudo hidrológico utilizado tem por base o método explicitado no MANUAL DO PEQUENO AÇUDE  de autoria de  François Molle  e Eric Cadier, publicado pela SUDENE, ORSTOM, TAPI e a experiência  adquirida pela CAR, na construção de aproximadamente  2000  pequenos açudes , ao longo de uma década .</t>
  </si>
  <si>
    <t>Cálculo do Volume Médio  Anual Escoado</t>
  </si>
  <si>
    <t>O volume médio anual escoado na BHD é definido através da expressão</t>
  </si>
  <si>
    <t>Onde,</t>
  </si>
  <si>
    <t>Cálculo da Vazão de Pico das Cheias – Qx</t>
  </si>
  <si>
    <t>A vazão de pico é calculada utilizando as seguintes expressões:</t>
  </si>
  <si>
    <t>ou</t>
  </si>
  <si>
    <t>FÓRMULA DE CÁLCULO DO VOLUME DE TERRA DO MACIÇO DO BARREIRO</t>
  </si>
  <si>
    <t>n</t>
  </si>
  <si>
    <t>COTA
(m)</t>
  </si>
  <si>
    <t>H = 4,0m</t>
  </si>
  <si>
    <t>H = 4,5m</t>
  </si>
  <si>
    <t>H = 5,0m</t>
  </si>
  <si>
    <t>H = 5,5m</t>
  </si>
  <si>
    <t>H = 6,0m</t>
  </si>
  <si>
    <t>C Á L C U L O   D O   V O L U M E   D E   T E R R A</t>
  </si>
  <si>
    <t>Parcial</t>
  </si>
  <si>
    <t>Acumulado</t>
  </si>
  <si>
    <t>.</t>
  </si>
  <si>
    <t>TOTAL (m³)</t>
  </si>
  <si>
    <r>
      <t>Áreas</t>
    </r>
    <r>
      <rPr>
        <b/>
        <sz val="10"/>
        <rFont val="Arial"/>
        <family val="2"/>
      </rPr>
      <t xml:space="preserve"> das seções transversais por altura do maciço para camadas de 0,5m de espessura</t>
    </r>
  </si>
  <si>
    <r>
      <t>Á R E A S (m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>)</t>
    </r>
  </si>
  <si>
    <r>
      <t>L</t>
    </r>
    <r>
      <rPr>
        <b/>
        <vertAlign val="subscript"/>
        <sz val="10"/>
        <rFont val="Arial"/>
        <family val="2"/>
      </rPr>
      <t xml:space="preserve">n-1
</t>
    </r>
    <r>
      <rPr>
        <b/>
        <sz val="10"/>
        <rFont val="Arial"/>
        <family val="2"/>
      </rPr>
      <t>(m)</t>
    </r>
  </si>
  <si>
    <r>
      <t>L</t>
    </r>
    <r>
      <rPr>
        <b/>
        <vertAlign val="subscript"/>
        <sz val="10"/>
        <rFont val="Arial"/>
        <family val="2"/>
      </rPr>
      <t xml:space="preserve">n
</t>
    </r>
    <r>
      <rPr>
        <b/>
        <sz val="10"/>
        <rFont val="Arial"/>
        <family val="2"/>
      </rPr>
      <t>(m)</t>
    </r>
  </si>
  <si>
    <r>
      <t>(L</t>
    </r>
    <r>
      <rPr>
        <b/>
        <vertAlign val="subscript"/>
        <sz val="10"/>
        <rFont val="Arial"/>
        <family val="2"/>
      </rPr>
      <t>n-1</t>
    </r>
    <r>
      <rPr>
        <b/>
        <sz val="10"/>
        <rFont val="Arial"/>
        <family val="2"/>
      </rPr>
      <t>+L</t>
    </r>
    <r>
      <rPr>
        <b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) / 2
(m)</t>
    </r>
  </si>
  <si>
    <r>
      <t>A</t>
    </r>
    <r>
      <rPr>
        <b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 xml:space="preserve">
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</si>
  <si>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VOLUMES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</si>
  <si>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Volume de terra movimentado no maciço (m</t>
    </r>
    <r>
      <rPr>
        <b/>
        <vertAlign val="superscript"/>
        <sz val="11"/>
        <color indexed="56"/>
        <rFont val="Arial"/>
        <family val="2"/>
      </rPr>
      <t>3</t>
    </r>
    <r>
      <rPr>
        <b/>
        <sz val="11"/>
        <color indexed="56"/>
        <rFont val="Arial"/>
        <family val="2"/>
      </rPr>
      <t>)</t>
    </r>
  </si>
  <si>
    <r>
      <t>Volume de terra movimentado na fundação (m</t>
    </r>
    <r>
      <rPr>
        <b/>
        <vertAlign val="superscript"/>
        <sz val="11"/>
        <color indexed="56"/>
        <rFont val="Arial"/>
        <family val="2"/>
      </rPr>
      <t>3</t>
    </r>
    <r>
      <rPr>
        <b/>
        <sz val="11"/>
        <color indexed="56"/>
        <rFont val="Arial"/>
        <family val="2"/>
      </rPr>
      <t>)</t>
    </r>
  </si>
  <si>
    <r>
      <t>Volume de terra movimentado no sangradouro (m</t>
    </r>
    <r>
      <rPr>
        <b/>
        <vertAlign val="superscript"/>
        <sz val="11"/>
        <color indexed="56"/>
        <rFont val="Arial"/>
        <family val="2"/>
      </rPr>
      <t>3</t>
    </r>
    <r>
      <rPr>
        <b/>
        <sz val="11"/>
        <color indexed="56"/>
        <rFont val="Arial"/>
        <family val="2"/>
      </rPr>
      <t>)</t>
    </r>
  </si>
  <si>
    <r>
      <t>Bacia Hidrográfica de Drenagem - S</t>
    </r>
    <r>
      <rPr>
        <b/>
        <i/>
        <vertAlign val="subscript"/>
        <sz val="10"/>
        <rFont val="Arial"/>
        <family val="2"/>
      </rPr>
      <t>BHD</t>
    </r>
    <r>
      <rPr>
        <b/>
        <i/>
        <sz val="10"/>
        <rFont val="Arial"/>
        <family val="2"/>
      </rPr>
      <t>(km</t>
    </r>
    <r>
      <rPr>
        <b/>
        <i/>
        <vertAlign val="superscript"/>
        <sz val="10"/>
        <rFont val="Arial"/>
        <family val="2"/>
      </rPr>
      <t>2</t>
    </r>
    <r>
      <rPr>
        <b/>
        <i/>
        <sz val="10"/>
        <rFont val="Arial"/>
        <family val="2"/>
      </rPr>
      <t>)</t>
    </r>
  </si>
  <si>
    <r>
      <t>Superfície de Contribuição -S</t>
    </r>
    <r>
      <rPr>
        <b/>
        <i/>
        <vertAlign val="subscript"/>
        <sz val="10"/>
        <rFont val="Arial"/>
        <family val="2"/>
      </rPr>
      <t>c</t>
    </r>
    <r>
      <rPr>
        <b/>
        <i/>
        <sz val="10"/>
        <rFont val="Arial"/>
        <family val="2"/>
      </rPr>
      <t xml:space="preserve"> (Km</t>
    </r>
    <r>
      <rPr>
        <b/>
        <i/>
        <vertAlign val="superscript"/>
        <sz val="10"/>
        <rFont val="Arial"/>
        <family val="2"/>
      </rPr>
      <t>2</t>
    </r>
    <r>
      <rPr>
        <b/>
        <i/>
        <sz val="10"/>
        <rFont val="Arial"/>
        <family val="2"/>
      </rPr>
      <t>)</t>
    </r>
  </si>
  <si>
    <r>
      <t>Volume Escoado - V</t>
    </r>
    <r>
      <rPr>
        <b/>
        <i/>
        <vertAlign val="subscript"/>
        <sz val="10"/>
        <rFont val="Arial"/>
        <family val="2"/>
      </rPr>
      <t>esc</t>
    </r>
    <r>
      <rPr>
        <b/>
        <i/>
        <sz val="10"/>
        <rFont val="Arial"/>
        <family val="2"/>
      </rPr>
      <t xml:space="preserve"> (m</t>
    </r>
    <r>
      <rPr>
        <b/>
        <i/>
        <vertAlign val="superscript"/>
        <sz val="10"/>
        <rFont val="Arial"/>
        <family val="2"/>
      </rPr>
      <t>3</t>
    </r>
    <r>
      <rPr>
        <b/>
        <i/>
        <sz val="10"/>
        <rFont val="Arial"/>
        <family val="2"/>
      </rPr>
      <t>)</t>
    </r>
  </si>
  <si>
    <r>
      <t>Volume acumulado (m</t>
    </r>
    <r>
      <rPr>
        <b/>
        <i/>
        <vertAlign val="superscript"/>
        <sz val="10"/>
        <rFont val="Arial"/>
        <family val="2"/>
      </rPr>
      <t>3</t>
    </r>
    <r>
      <rPr>
        <b/>
        <i/>
        <sz val="10"/>
        <rFont val="Arial"/>
        <family val="2"/>
      </rPr>
      <t>)</t>
    </r>
  </si>
  <si>
    <r>
      <t>Altura livre do sangradouro -H</t>
    </r>
    <r>
      <rPr>
        <b/>
        <i/>
        <vertAlign val="subscript"/>
        <sz val="10"/>
        <rFont val="Arial"/>
        <family val="2"/>
      </rPr>
      <t>s(m)</t>
    </r>
  </si>
  <si>
    <r>
      <t>Largura do sangradouro - L</t>
    </r>
    <r>
      <rPr>
        <b/>
        <i/>
        <vertAlign val="subscript"/>
        <sz val="10"/>
        <rFont val="Arial"/>
        <family val="2"/>
      </rPr>
      <t>s(m)</t>
    </r>
  </si>
  <si>
    <r>
      <t>Vazão de Pico - Qx (m</t>
    </r>
    <r>
      <rPr>
        <b/>
        <i/>
        <vertAlign val="superscript"/>
        <sz val="10"/>
        <rFont val="Arial"/>
        <family val="2"/>
      </rPr>
      <t>3</t>
    </r>
    <r>
      <rPr>
        <b/>
        <i/>
        <sz val="10"/>
        <rFont val="Arial"/>
        <family val="2"/>
      </rPr>
      <t>/seg)</t>
    </r>
  </si>
  <si>
    <r>
      <t>V</t>
    </r>
    <r>
      <rPr>
        <b/>
        <vertAlign val="subscript"/>
        <sz val="12"/>
        <rFont val="Arial"/>
        <family val="2"/>
      </rPr>
      <t>esc</t>
    </r>
    <r>
      <rPr>
        <b/>
        <sz val="12"/>
        <rFont val="Arial"/>
        <family val="2"/>
      </rPr>
      <t>(</t>
    </r>
    <r>
      <rPr>
        <b/>
        <sz val="10"/>
        <rFont val="Arial"/>
        <family val="2"/>
      </rPr>
      <t>m³</t>
    </r>
    <r>
      <rPr>
        <b/>
        <sz val="12"/>
        <rFont val="Arial"/>
        <family val="2"/>
      </rPr>
      <t>) =  L (P)(</t>
    </r>
    <r>
      <rPr>
        <b/>
        <sz val="10"/>
        <rFont val="Arial"/>
        <family val="2"/>
      </rPr>
      <t>mm</t>
    </r>
    <r>
      <rPr>
        <b/>
        <sz val="12"/>
        <rFont val="Arial"/>
        <family val="2"/>
      </rPr>
      <t>) . S(</t>
    </r>
    <r>
      <rPr>
        <b/>
        <sz val="10"/>
        <rFont val="Arial"/>
        <family val="2"/>
      </rPr>
      <t>km²</t>
    </r>
    <r>
      <rPr>
        <b/>
        <sz val="12"/>
        <rFont val="Arial"/>
        <family val="2"/>
      </rPr>
      <t>) . 1000</t>
    </r>
  </si>
  <si>
    <r>
      <t>L(P) = (L</t>
    </r>
    <r>
      <rPr>
        <b/>
        <vertAlign val="subscript"/>
        <sz val="12"/>
        <rFont val="Arial"/>
        <family val="2"/>
      </rPr>
      <t>600</t>
    </r>
    <r>
      <rPr>
        <b/>
        <sz val="12"/>
        <rFont val="Arial"/>
        <family val="2"/>
      </rPr>
      <t xml:space="preserve"> </t>
    </r>
    <r>
      <rPr>
        <b/>
        <sz val="8"/>
        <rFont val="Arial"/>
        <family val="2"/>
      </rPr>
      <t>corrigido</t>
    </r>
    <r>
      <rPr>
        <b/>
        <sz val="12"/>
        <rFont val="Arial"/>
        <family val="2"/>
      </rPr>
      <t>) . C . e</t>
    </r>
    <r>
      <rPr>
        <b/>
        <vertAlign val="superscript"/>
        <sz val="12"/>
        <rFont val="Arial"/>
        <family val="2"/>
      </rPr>
      <t>A(P-600)</t>
    </r>
  </si>
  <si>
    <r>
      <t>L</t>
    </r>
    <r>
      <rPr>
        <b/>
        <vertAlign val="subscript"/>
        <sz val="12"/>
        <rFont val="Arial"/>
        <family val="2"/>
      </rPr>
      <t>600</t>
    </r>
    <r>
      <rPr>
        <b/>
        <sz val="12"/>
        <rFont val="Arial"/>
        <family val="2"/>
      </rPr>
      <t xml:space="preserve"> </t>
    </r>
    <r>
      <rPr>
        <b/>
        <sz val="8"/>
        <rFont val="Arial"/>
        <family val="2"/>
      </rPr>
      <t>corrigido</t>
    </r>
    <r>
      <rPr>
        <b/>
        <sz val="12"/>
        <rFont val="Arial"/>
        <family val="2"/>
      </rPr>
      <t xml:space="preserve"> = (L</t>
    </r>
    <r>
      <rPr>
        <b/>
        <vertAlign val="subscript"/>
        <sz val="12"/>
        <rFont val="Arial"/>
        <family val="2"/>
      </rPr>
      <t>600</t>
    </r>
    <r>
      <rPr>
        <b/>
        <sz val="12"/>
        <rFont val="Arial"/>
        <family val="2"/>
      </rPr>
      <t xml:space="preserve"> </t>
    </r>
    <r>
      <rPr>
        <b/>
        <sz val="8"/>
        <rFont val="Arial"/>
        <family val="2"/>
      </rPr>
      <t>padrão</t>
    </r>
    <r>
      <rPr>
        <b/>
        <sz val="12"/>
        <rFont val="Arial"/>
        <family val="2"/>
      </rPr>
      <t>).CV.CA.CL</t>
    </r>
  </si>
  <si>
    <r>
      <t>L</t>
    </r>
    <r>
      <rPr>
        <b/>
        <vertAlign val="subscript"/>
        <sz val="12"/>
        <rFont val="Arial"/>
        <family val="2"/>
      </rPr>
      <t>600</t>
    </r>
    <r>
      <rPr>
        <b/>
        <sz val="12"/>
        <rFont val="Arial"/>
        <family val="2"/>
      </rPr>
      <t xml:space="preserve"> </t>
    </r>
    <r>
      <rPr>
        <b/>
        <sz val="8"/>
        <rFont val="Arial"/>
        <family val="2"/>
      </rPr>
      <t>padrão</t>
    </r>
    <r>
      <rPr>
        <sz val="12"/>
        <rFont val="Arial"/>
        <family val="2"/>
      </rPr>
      <t xml:space="preserve">  é a lâmina escoada para uma pluviometria de 600mm</t>
    </r>
  </si>
  <si>
    <r>
      <t>CV</t>
    </r>
    <r>
      <rPr>
        <sz val="12"/>
        <rFont val="Arial"/>
        <family val="2"/>
      </rPr>
      <t xml:space="preserve"> é coeficiente corretivo de cobertura vegetal;</t>
    </r>
  </si>
  <si>
    <r>
      <t>CA</t>
    </r>
    <r>
      <rPr>
        <sz val="12"/>
        <rFont val="Arial"/>
        <family val="2"/>
      </rPr>
      <t xml:space="preserve"> é coeficiente corretivo de existência de açudes na bacia e</t>
    </r>
  </si>
  <si>
    <r>
      <t>CL</t>
    </r>
    <r>
      <rPr>
        <sz val="12"/>
        <rFont val="Arial"/>
        <family val="2"/>
      </rPr>
      <t xml:space="preserve"> é coeficiente corretivo de zonas de retenção</t>
    </r>
  </si>
  <si>
    <r>
      <t>C</t>
    </r>
    <r>
      <rPr>
        <sz val="12"/>
        <rFont val="Arial"/>
        <family val="2"/>
      </rPr>
      <t xml:space="preserve"> é coeficiente Climático</t>
    </r>
  </si>
  <si>
    <r>
      <t>A</t>
    </r>
    <r>
      <rPr>
        <sz val="12"/>
        <rFont val="Arial"/>
        <family val="2"/>
      </rPr>
      <t xml:space="preserve">  é um coeficiente que leva em consideração  o escoamento médio da bacia</t>
    </r>
  </si>
  <si>
    <r>
      <t>P</t>
    </r>
    <r>
      <rPr>
        <sz val="12"/>
        <rFont val="Arial"/>
        <family val="2"/>
      </rPr>
      <t xml:space="preserve">  é a pluviometria média anual na bacia.</t>
    </r>
  </si>
  <si>
    <r>
      <t>Qx(</t>
    </r>
    <r>
      <rPr>
        <b/>
        <sz val="10"/>
        <rFont val="Arial"/>
        <family val="2"/>
      </rPr>
      <t>m³/s</t>
    </r>
    <r>
      <rPr>
        <b/>
        <sz val="12"/>
        <rFont val="Arial"/>
        <family val="2"/>
      </rPr>
      <t>) = 25 . (Sc)</t>
    </r>
    <r>
      <rPr>
        <b/>
        <vertAlign val="superscript"/>
        <sz val="12"/>
        <rFont val="Arial"/>
        <family val="2"/>
      </rPr>
      <t>0,58</t>
    </r>
    <r>
      <rPr>
        <b/>
        <sz val="12"/>
        <rFont val="Arial"/>
        <family val="2"/>
      </rPr>
      <t xml:space="preserve">  . Fc , para Sc &gt; 5,0 km²</t>
    </r>
  </si>
  <si>
    <r>
      <t>Qx(</t>
    </r>
    <r>
      <rPr>
        <b/>
        <sz val="10"/>
        <rFont val="Arial"/>
        <family val="2"/>
      </rPr>
      <t>m³/s</t>
    </r>
    <r>
      <rPr>
        <b/>
        <sz val="12"/>
        <rFont val="Arial"/>
        <family val="2"/>
      </rPr>
      <t>) = 17 . (Sc)</t>
    </r>
    <r>
      <rPr>
        <b/>
        <vertAlign val="superscript"/>
        <sz val="12"/>
        <rFont val="Arial"/>
        <family val="2"/>
      </rPr>
      <t>0,80</t>
    </r>
    <r>
      <rPr>
        <b/>
        <sz val="12"/>
        <rFont val="Arial"/>
        <family val="2"/>
      </rPr>
      <t xml:space="preserve"> .  Fc , para Sc &lt; 5,0 km²</t>
    </r>
  </si>
  <si>
    <r>
      <t>Sc</t>
    </r>
    <r>
      <rPr>
        <sz val="12"/>
        <rFont val="Arial"/>
        <family val="2"/>
      </rPr>
      <t xml:space="preserve"> é a superfície de contribuição da cheia , que leva em consideração os  tipos de solos da bacia.</t>
    </r>
  </si>
  <si>
    <r>
      <t>Fc</t>
    </r>
    <r>
      <rPr>
        <sz val="12"/>
        <rFont val="Arial"/>
        <family val="2"/>
      </rPr>
      <t xml:space="preserve"> é um fator corretivo , que deve levar em consideração a forma , a drenagem, o relevo, o nível de degradação e a zona climática da bacia.</t>
    </r>
  </si>
  <si>
    <t>Para o presente projeto  tem-se os seguintes valores para o volume escoado e a vazão de pico</t>
  </si>
  <si>
    <t>Conforme projeto</t>
  </si>
  <si>
    <t>422 m³ (volume fundação) x 0,8 (percentual de solo de 1ª cat.)</t>
  </si>
  <si>
    <t>422 m³ (volume fundação) x 0,2 (percentual de solo de 2ª cat.)</t>
  </si>
  <si>
    <t xml:space="preserve">(2909 m³ (volume de maciço) + 422 m³)/0,9 </t>
  </si>
  <si>
    <t>(2909 m³ (volume de maciço) + 422 m³ (volume da fundação))</t>
  </si>
  <si>
    <t>conforme projeto</t>
  </si>
  <si>
    <t>324 (volume de terra do sangradouro) x 0,8 (percentual de solo de 1ª cat.)</t>
  </si>
  <si>
    <t>324 (volume de terra do sangradouro) x 0,2 (percentual de solo de 2ª cat.)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</si>
</sst>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;[Red]&quot;R$&quot;\ #,##0.00"/>
    <numFmt numFmtId="166" formatCode="0.0000"/>
    <numFmt numFmtId="167" formatCode="#,##0.00\ ;&quot; (&quot;#,##0.00\);&quot; -&quot;#\ ;@\ "/>
    <numFmt numFmtId="168" formatCode="_(&quot;R$ &quot;* #,##0.00_);_(&quot;R$ &quot;* \(#,##0.00\);_(&quot;R$ &quot;* &quot;-&quot;??_);_(@_)"/>
    <numFmt numFmtId="169" formatCode="&quot;R$&quot;#,##0.00_);[Red]\(&quot;R$&quot;#,##0.00\)"/>
    <numFmt numFmtId="170" formatCode="0.0"/>
    <numFmt numFmtId="171" formatCode="_(* #,##0.000_);_(* \(#,##0.000\);_(* &quot;-&quot;??_);_(@_)"/>
    <numFmt numFmtId="172" formatCode="_(* #,##0_);_(* \(#,##0\);_(* &quot;-&quot;??_);_(@_)"/>
  </numFmts>
  <fonts count="70">
    <font>
      <sz val="10"/>
      <name val="Arial"/>
      <charset val="134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trike/>
      <sz val="10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2"/>
      <color rgb="FFFF0000"/>
      <name val="Arial"/>
      <family val="2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family val="2"/>
    </font>
    <font>
      <b/>
      <sz val="11"/>
      <name val="Verdana"/>
      <family val="2"/>
    </font>
    <font>
      <b/>
      <sz val="15"/>
      <name val="Arial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Verdana"/>
      <family val="2"/>
    </font>
    <font>
      <sz val="9"/>
      <name val="Verdana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1"/>
      <name val="Arial"/>
      <family val="2"/>
    </font>
    <font>
      <sz val="11"/>
      <color indexed="8"/>
      <name val="Arial Narrow"/>
      <family val="2"/>
    </font>
    <font>
      <b/>
      <sz val="14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1"/>
      <color indexed="8"/>
      <name val="Arial Narrow"/>
      <family val="2"/>
    </font>
    <font>
      <b/>
      <sz val="14"/>
      <color rgb="FFFF0000"/>
      <name val="Arial"/>
      <family val="2"/>
    </font>
    <font>
      <b/>
      <sz val="11"/>
      <name val="MonoMM1_ZeroNormal"/>
      <charset val="13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MonoMM1_ZeroNormal"/>
      <charset val="134"/>
    </font>
    <font>
      <b/>
      <sz val="13"/>
      <color theme="3"/>
      <name val="Arial"/>
      <family val="2"/>
    </font>
    <font>
      <b/>
      <vertAlign val="superscript"/>
      <sz val="8"/>
      <name val="Arial"/>
      <family val="2"/>
    </font>
    <font>
      <b/>
      <sz val="14"/>
      <color indexed="9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1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12"/>
      <name val="Arial"/>
      <family val="2"/>
    </font>
    <font>
      <i/>
      <sz val="12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vertAlign val="subscript"/>
      <sz val="10"/>
      <name val="Arial"/>
      <family val="2"/>
    </font>
    <font>
      <b/>
      <i/>
      <vertAlign val="superscript"/>
      <sz val="10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9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47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44" fontId="49" fillId="0" borderId="0" applyFont="0" applyFill="0" applyBorder="0" applyAlignment="0" applyProtection="0"/>
    <xf numFmtId="0" fontId="49" fillId="0" borderId="0"/>
    <xf numFmtId="168" fontId="49" fillId="0" borderId="0" applyFont="0" applyFill="0" applyBorder="0" applyAlignment="0" applyProtection="0"/>
    <xf numFmtId="43" fontId="47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49" fillId="0" borderId="0"/>
    <xf numFmtId="0" fontId="46" fillId="0" borderId="0"/>
    <xf numFmtId="0" fontId="49" fillId="0" borderId="0"/>
    <xf numFmtId="0" fontId="46" fillId="0" borderId="0"/>
    <xf numFmtId="0" fontId="48" fillId="0" borderId="0"/>
    <xf numFmtId="9" fontId="4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0" fillId="0" borderId="79" applyNumberFormat="0" applyFill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52" fillId="0" borderId="78" applyNumberFormat="0" applyFill="0" applyAlignment="0" applyProtection="0"/>
    <xf numFmtId="0" fontId="1" fillId="0" borderId="0"/>
    <xf numFmtId="0" fontId="11" fillId="0" borderId="0"/>
  </cellStyleXfs>
  <cellXfs count="715">
    <xf numFmtId="0" fontId="0" fillId="0" borderId="0" xfId="0"/>
    <xf numFmtId="0" fontId="0" fillId="0" borderId="0" xfId="0" applyFont="1" applyFill="1" applyBorder="1" applyAlignment="1"/>
    <xf numFmtId="0" fontId="0" fillId="0" borderId="1" xfId="9" applyFont="1" applyFill="1" applyBorder="1" applyAlignment="1"/>
    <xf numFmtId="0" fontId="0" fillId="0" borderId="2" xfId="9" applyFont="1" applyFill="1" applyBorder="1" applyAlignment="1"/>
    <xf numFmtId="0" fontId="0" fillId="0" borderId="3" xfId="9" applyFont="1" applyFill="1" applyBorder="1" applyAlignment="1"/>
    <xf numFmtId="0" fontId="0" fillId="0" borderId="4" xfId="9" applyFont="1" applyFill="1" applyBorder="1" applyAlignment="1"/>
    <xf numFmtId="0" fontId="0" fillId="0" borderId="0" xfId="9" applyFont="1" applyFill="1" applyBorder="1" applyAlignment="1"/>
    <xf numFmtId="0" fontId="0" fillId="0" borderId="5" xfId="9" applyFont="1" applyFill="1" applyBorder="1" applyAlignment="1"/>
    <xf numFmtId="0" fontId="0" fillId="0" borderId="6" xfId="9" applyFont="1" applyFill="1" applyBorder="1" applyAlignment="1"/>
    <xf numFmtId="0" fontId="0" fillId="0" borderId="7" xfId="9" applyFont="1" applyFill="1" applyBorder="1" applyAlignment="1"/>
    <xf numFmtId="0" fontId="0" fillId="0" borderId="8" xfId="9" applyFont="1" applyFill="1" applyBorder="1" applyAlignment="1"/>
    <xf numFmtId="0" fontId="0" fillId="0" borderId="9" xfId="9" applyFont="1" applyFill="1" applyBorder="1" applyAlignment="1"/>
    <xf numFmtId="0" fontId="3" fillId="0" borderId="8" xfId="11" applyFont="1" applyFill="1" applyBorder="1" applyAlignment="1">
      <alignment horizontal="center" vertical="center"/>
    </xf>
    <xf numFmtId="0" fontId="1" fillId="0" borderId="4" xfId="9" applyFont="1" applyFill="1" applyBorder="1" applyAlignment="1"/>
    <xf numFmtId="0" fontId="3" fillId="0" borderId="6" xfId="11" applyFont="1" applyFill="1" applyBorder="1" applyAlignment="1">
      <alignment horizontal="center" vertical="center"/>
    </xf>
    <xf numFmtId="0" fontId="1" fillId="0" borderId="20" xfId="11" applyFont="1" applyFill="1" applyBorder="1" applyAlignment="1">
      <alignment horizontal="center"/>
    </xf>
    <xf numFmtId="0" fontId="1" fillId="0" borderId="21" xfId="11" applyFont="1" applyFill="1" applyBorder="1" applyAlignment="1"/>
    <xf numFmtId="167" fontId="1" fillId="2" borderId="21" xfId="11" applyNumberFormat="1" applyFont="1" applyFill="1" applyBorder="1" applyAlignment="1">
      <alignment horizontal="center" vertical="center"/>
    </xf>
    <xf numFmtId="167" fontId="1" fillId="2" borderId="22" xfId="11" applyNumberFormat="1" applyFont="1" applyFill="1" applyBorder="1" applyAlignment="1">
      <alignment horizontal="center" vertical="center"/>
    </xf>
    <xf numFmtId="0" fontId="1" fillId="0" borderId="23" xfId="11" applyFont="1" applyFill="1" applyBorder="1" applyAlignment="1">
      <alignment horizontal="center"/>
    </xf>
    <xf numFmtId="0" fontId="1" fillId="0" borderId="24" xfId="11" applyFont="1" applyFill="1" applyBorder="1" applyAlignment="1"/>
    <xf numFmtId="167" fontId="1" fillId="2" borderId="24" xfId="11" applyNumberFormat="1" applyFont="1" applyFill="1" applyBorder="1" applyAlignment="1">
      <alignment horizontal="center" vertical="center"/>
    </xf>
    <xf numFmtId="167" fontId="1" fillId="2" borderId="25" xfId="11" applyNumberFormat="1" applyFont="1" applyFill="1" applyBorder="1" applyAlignment="1">
      <alignment horizontal="center" vertical="center"/>
    </xf>
    <xf numFmtId="0" fontId="1" fillId="0" borderId="26" xfId="11" applyFont="1" applyFill="1" applyBorder="1" applyAlignment="1">
      <alignment horizontal="center"/>
    </xf>
    <xf numFmtId="0" fontId="1" fillId="0" borderId="27" xfId="11" applyFont="1" applyFill="1" applyBorder="1" applyAlignment="1"/>
    <xf numFmtId="167" fontId="1" fillId="2" borderId="27" xfId="11" applyNumberFormat="1" applyFont="1" applyFill="1" applyBorder="1" applyAlignment="1">
      <alignment horizontal="center" vertical="center"/>
    </xf>
    <xf numFmtId="167" fontId="1" fillId="2" borderId="28" xfId="11" applyNumberFormat="1" applyFont="1" applyFill="1" applyBorder="1" applyAlignment="1">
      <alignment horizontal="center" vertical="center"/>
    </xf>
    <xf numFmtId="0" fontId="3" fillId="0" borderId="18" xfId="11" applyFont="1" applyFill="1" applyBorder="1" applyAlignment="1">
      <alignment vertical="center"/>
    </xf>
    <xf numFmtId="167" fontId="3" fillId="3" borderId="18" xfId="11" applyNumberFormat="1" applyFont="1" applyFill="1" applyBorder="1" applyAlignment="1">
      <alignment horizontal="center" vertical="center"/>
    </xf>
    <xf numFmtId="167" fontId="3" fillId="3" borderId="19" xfId="11" applyNumberFormat="1" applyFont="1" applyFill="1" applyBorder="1" applyAlignment="1">
      <alignment horizontal="center" vertical="center"/>
    </xf>
    <xf numFmtId="0" fontId="1" fillId="0" borderId="26" xfId="11" applyFont="1" applyFill="1" applyBorder="1" applyAlignment="1">
      <alignment horizontal="center" vertical="center"/>
    </xf>
    <xf numFmtId="0" fontId="1" fillId="0" borderId="27" xfId="11" applyFont="1" applyFill="1" applyBorder="1" applyAlignment="1">
      <alignment horizontal="justify" vertical="center" wrapText="1"/>
    </xf>
    <xf numFmtId="167" fontId="3" fillId="3" borderId="30" xfId="11" applyNumberFormat="1" applyFont="1" applyFill="1" applyBorder="1" applyAlignment="1">
      <alignment horizontal="center" vertical="center"/>
    </xf>
    <xf numFmtId="10" fontId="3" fillId="3" borderId="30" xfId="11" applyNumberFormat="1" applyFont="1" applyFill="1" applyBorder="1" applyAlignment="1">
      <alignment horizontal="center" vertical="center"/>
    </xf>
    <xf numFmtId="10" fontId="3" fillId="3" borderId="31" xfId="11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/>
    <xf numFmtId="0" fontId="49" fillId="0" borderId="0" xfId="13"/>
    <xf numFmtId="0" fontId="2" fillId="0" borderId="4" xfId="13" applyFont="1" applyBorder="1" applyAlignment="1">
      <alignment vertical="center"/>
    </xf>
    <xf numFmtId="0" fontId="2" fillId="0" borderId="4" xfId="13" applyFont="1" applyBorder="1" applyAlignment="1">
      <alignment vertical="center" wrapText="1"/>
    </xf>
    <xf numFmtId="49" fontId="8" fillId="5" borderId="4" xfId="1" applyNumberFormat="1" applyFont="1" applyFill="1" applyBorder="1" applyAlignment="1">
      <alignment horizontal="center" vertical="center"/>
    </xf>
    <xf numFmtId="49" fontId="8" fillId="5" borderId="0" xfId="1" applyNumberFormat="1" applyFont="1" applyFill="1" applyBorder="1" applyAlignment="1">
      <alignment horizontal="center" vertical="center"/>
    </xf>
    <xf numFmtId="0" fontId="9" fillId="0" borderId="0" xfId="1" applyFont="1" applyBorder="1"/>
    <xf numFmtId="0" fontId="9" fillId="0" borderId="5" xfId="1" applyFont="1" applyBorder="1"/>
    <xf numFmtId="0" fontId="10" fillId="5" borderId="0" xfId="1" applyFont="1" applyFill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164" fontId="12" fillId="0" borderId="35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12" fillId="0" borderId="35" xfId="1" applyFont="1" applyFill="1" applyBorder="1" applyAlignment="1">
      <alignment horizontal="justify" vertical="center" wrapText="1"/>
    </xf>
    <xf numFmtId="0" fontId="9" fillId="0" borderId="38" xfId="1" applyFont="1" applyBorder="1"/>
    <xf numFmtId="0" fontId="11" fillId="0" borderId="6" xfId="1" applyFont="1" applyBorder="1" applyAlignment="1">
      <alignment horizontal="center" vertical="center"/>
    </xf>
    <xf numFmtId="0" fontId="11" fillId="0" borderId="18" xfId="1" applyFont="1" applyFill="1" applyBorder="1" applyAlignment="1">
      <alignment vertical="center"/>
    </xf>
    <xf numFmtId="10" fontId="13" fillId="6" borderId="19" xfId="7" applyNumberFormat="1" applyFont="1" applyFill="1" applyBorder="1" applyAlignment="1" applyProtection="1">
      <alignment horizontal="center" vertical="center"/>
      <protection locked="0"/>
    </xf>
    <xf numFmtId="10" fontId="11" fillId="0" borderId="0" xfId="7" applyNumberFormat="1" applyFont="1" applyBorder="1" applyAlignment="1">
      <alignment horizontal="center" vertical="center"/>
    </xf>
    <xf numFmtId="10" fontId="11" fillId="0" borderId="6" xfId="7" applyNumberFormat="1" applyFont="1" applyBorder="1" applyAlignment="1">
      <alignment horizontal="center" vertical="center"/>
    </xf>
    <xf numFmtId="10" fontId="11" fillId="0" borderId="19" xfId="7" applyNumberFormat="1" applyFont="1" applyBorder="1" applyAlignment="1">
      <alignment horizontal="center" vertical="center"/>
    </xf>
    <xf numFmtId="10" fontId="11" fillId="6" borderId="19" xfId="7" applyNumberFormat="1" applyFont="1" applyFill="1" applyBorder="1" applyAlignment="1" applyProtection="1">
      <alignment horizontal="center" vertical="center"/>
      <protection locked="0"/>
    </xf>
    <xf numFmtId="10" fontId="12" fillId="0" borderId="31" xfId="7" applyNumberFormat="1" applyFont="1" applyBorder="1" applyAlignment="1">
      <alignment horizontal="center" vertical="center"/>
    </xf>
    <xf numFmtId="10" fontId="12" fillId="0" borderId="0" xfId="7" applyNumberFormat="1" applyFont="1" applyBorder="1" applyAlignment="1">
      <alignment horizontal="center" vertical="center"/>
    </xf>
    <xf numFmtId="10" fontId="11" fillId="0" borderId="29" xfId="7" applyNumberFormat="1" applyFont="1" applyBorder="1" applyAlignment="1">
      <alignment horizontal="center" vertical="center"/>
    </xf>
    <xf numFmtId="10" fontId="11" fillId="0" borderId="31" xfId="7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10" fontId="11" fillId="0" borderId="5" xfId="7" applyNumberFormat="1" applyFont="1" applyBorder="1" applyAlignment="1">
      <alignment horizontal="center" vertical="center"/>
    </xf>
    <xf numFmtId="10" fontId="11" fillId="0" borderId="35" xfId="7" applyNumberFormat="1" applyFont="1" applyBorder="1" applyAlignment="1">
      <alignment horizontal="center" vertical="center"/>
    </xf>
    <xf numFmtId="10" fontId="11" fillId="0" borderId="38" xfId="7" applyNumberFormat="1" applyFont="1" applyBorder="1" applyAlignment="1">
      <alignment horizontal="center" vertical="center"/>
    </xf>
    <xf numFmtId="10" fontId="11" fillId="0" borderId="0" xfId="7" applyNumberFormat="1" applyFont="1" applyBorder="1" applyAlignment="1">
      <alignment vertical="center"/>
    </xf>
    <xf numFmtId="10" fontId="11" fillId="0" borderId="5" xfId="7" applyNumberFormat="1" applyFont="1" applyBorder="1" applyAlignment="1">
      <alignment vertical="center"/>
    </xf>
    <xf numFmtId="0" fontId="11" fillId="0" borderId="45" xfId="1" applyFont="1" applyBorder="1" applyAlignment="1">
      <alignment horizontal="center" vertical="center"/>
    </xf>
    <xf numFmtId="0" fontId="11" fillId="0" borderId="46" xfId="1" applyFont="1" applyFill="1" applyBorder="1" applyAlignment="1">
      <alignment vertical="center"/>
    </xf>
    <xf numFmtId="10" fontId="11" fillId="6" borderId="47" xfId="7" applyNumberFormat="1" applyFont="1" applyFill="1" applyBorder="1" applyAlignment="1" applyProtection="1">
      <alignment horizontal="center" vertical="center"/>
      <protection locked="0"/>
    </xf>
    <xf numFmtId="0" fontId="11" fillId="0" borderId="4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center" vertical="center" wrapText="1"/>
    </xf>
    <xf numFmtId="164" fontId="11" fillId="0" borderId="0" xfId="1" applyNumberFormat="1" applyFont="1" applyBorder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right" vertical="center"/>
    </xf>
    <xf numFmtId="168" fontId="14" fillId="0" borderId="0" xfId="7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10" fontId="15" fillId="4" borderId="3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0" fontId="9" fillId="0" borderId="0" xfId="1" applyFont="1"/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49" fontId="18" fillId="5" borderId="4" xfId="14" applyNumberFormat="1" applyFont="1" applyFill="1" applyBorder="1" applyAlignment="1">
      <alignment horizontal="center" vertical="center"/>
    </xf>
    <xf numFmtId="49" fontId="18" fillId="5" borderId="0" xfId="14" applyNumberFormat="1" applyFont="1" applyFill="1" applyBorder="1" applyAlignment="1">
      <alignment horizontal="center" vertical="center"/>
    </xf>
    <xf numFmtId="0" fontId="19" fillId="0" borderId="0" xfId="14" applyFont="1" applyBorder="1"/>
    <xf numFmtId="0" fontId="20" fillId="5" borderId="0" xfId="14" applyFont="1" applyFill="1" applyBorder="1" applyAlignment="1">
      <alignment horizontal="center" vertical="center"/>
    </xf>
    <xf numFmtId="0" fontId="10" fillId="0" borderId="29" xfId="14" applyFont="1" applyFill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11" fillId="0" borderId="0" xfId="14" applyFont="1" applyBorder="1" applyAlignment="1">
      <alignment vertical="center"/>
    </xf>
    <xf numFmtId="0" fontId="9" fillId="0" borderId="0" xfId="14" applyFont="1" applyBorder="1"/>
    <xf numFmtId="164" fontId="5" fillId="0" borderId="35" xfId="14" applyNumberFormat="1" applyFont="1" applyFill="1" applyBorder="1" applyAlignment="1">
      <alignment horizontal="center" vertical="center" wrapText="1"/>
    </xf>
    <xf numFmtId="0" fontId="5" fillId="0" borderId="0" xfId="14" applyFont="1" applyFill="1" applyBorder="1" applyAlignment="1">
      <alignment horizontal="justify" vertical="center" wrapText="1"/>
    </xf>
    <xf numFmtId="0" fontId="12" fillId="0" borderId="35" xfId="14" applyFont="1" applyFill="1" applyBorder="1" applyAlignment="1">
      <alignment horizontal="justify" vertical="center" wrapText="1"/>
    </xf>
    <xf numFmtId="0" fontId="0" fillId="0" borderId="6" xfId="14" applyFont="1" applyBorder="1" applyAlignment="1">
      <alignment horizontal="center" vertical="center"/>
    </xf>
    <xf numFmtId="0" fontId="0" fillId="0" borderId="18" xfId="14" applyFont="1" applyFill="1" applyBorder="1" applyAlignment="1">
      <alignment vertical="center"/>
    </xf>
    <xf numFmtId="10" fontId="11" fillId="6" borderId="19" xfId="18" applyNumberFormat="1" applyFont="1" applyFill="1" applyBorder="1" applyAlignment="1" applyProtection="1">
      <alignment horizontal="center" vertical="center"/>
      <protection locked="0"/>
    </xf>
    <xf numFmtId="10" fontId="0" fillId="0" borderId="0" xfId="18" applyNumberFormat="1" applyFont="1" applyBorder="1" applyAlignment="1">
      <alignment horizontal="center" vertical="center"/>
    </xf>
    <xf numFmtId="10" fontId="11" fillId="0" borderId="6" xfId="18" applyNumberFormat="1" applyFont="1" applyBorder="1" applyAlignment="1">
      <alignment horizontal="center" vertical="center"/>
    </xf>
    <xf numFmtId="10" fontId="5" fillId="0" borderId="31" xfId="18" applyNumberFormat="1" applyFont="1" applyBorder="1" applyAlignment="1">
      <alignment horizontal="center" vertical="center"/>
    </xf>
    <xf numFmtId="10" fontId="5" fillId="0" borderId="0" xfId="18" applyNumberFormat="1" applyFont="1" applyBorder="1" applyAlignment="1">
      <alignment horizontal="center" vertical="center"/>
    </xf>
    <xf numFmtId="10" fontId="11" fillId="0" borderId="29" xfId="18" applyNumberFormat="1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10" fontId="11" fillId="0" borderId="0" xfId="18" applyNumberFormat="1" applyFont="1" applyBorder="1" applyAlignment="1">
      <alignment horizontal="center" vertical="center"/>
    </xf>
    <xf numFmtId="10" fontId="11" fillId="0" borderId="35" xfId="18" applyNumberFormat="1" applyFont="1" applyBorder="1" applyAlignment="1">
      <alignment horizontal="center" vertical="center"/>
    </xf>
    <xf numFmtId="10" fontId="0" fillId="7" borderId="19" xfId="18" applyNumberFormat="1" applyFont="1" applyFill="1" applyBorder="1" applyAlignment="1" applyProtection="1">
      <alignment horizontal="center" vertical="center"/>
      <protection locked="0"/>
    </xf>
    <xf numFmtId="0" fontId="0" fillId="0" borderId="45" xfId="14" applyFont="1" applyBorder="1" applyAlignment="1">
      <alignment horizontal="center" vertical="center"/>
    </xf>
    <xf numFmtId="10" fontId="0" fillId="7" borderId="47" xfId="18" applyNumberFormat="1" applyFont="1" applyFill="1" applyBorder="1" applyAlignment="1" applyProtection="1">
      <alignment horizontal="center" vertical="center"/>
      <protection locked="0"/>
    </xf>
    <xf numFmtId="10" fontId="12" fillId="0" borderId="0" xfId="18" applyNumberFormat="1" applyFont="1" applyBorder="1" applyAlignment="1">
      <alignment horizontal="center" vertical="center" wrapText="1"/>
    </xf>
    <xf numFmtId="10" fontId="11" fillId="0" borderId="59" xfId="18" applyNumberFormat="1" applyFont="1" applyBorder="1" applyAlignment="1">
      <alignment horizontal="center" vertical="center"/>
    </xf>
    <xf numFmtId="0" fontId="0" fillId="0" borderId="46" xfId="14" applyFont="1" applyFill="1" applyBorder="1" applyAlignment="1">
      <alignment vertical="center"/>
    </xf>
    <xf numFmtId="10" fontId="0" fillId="5" borderId="0" xfId="18" applyNumberFormat="1" applyFont="1" applyFill="1" applyBorder="1" applyAlignment="1">
      <alignment vertical="center"/>
    </xf>
    <xf numFmtId="10" fontId="0" fillId="0" borderId="0" xfId="18" applyNumberFormat="1" applyFont="1" applyBorder="1" applyAlignment="1">
      <alignment vertical="center"/>
    </xf>
    <xf numFmtId="0" fontId="0" fillId="0" borderId="0" xfId="14" applyFont="1" applyFill="1" applyBorder="1" applyAlignment="1">
      <alignment horizontal="center" vertical="center"/>
    </xf>
    <xf numFmtId="164" fontId="5" fillId="0" borderId="4" xfId="14" applyNumberFormat="1" applyFont="1" applyFill="1" applyBorder="1" applyAlignment="1">
      <alignment horizontal="center" vertical="center" wrapText="1"/>
    </xf>
    <xf numFmtId="164" fontId="0" fillId="0" borderId="0" xfId="14" applyNumberFormat="1" applyFont="1" applyBorder="1" applyAlignment="1">
      <alignment vertical="center"/>
    </xf>
    <xf numFmtId="0" fontId="0" fillId="0" borderId="4" xfId="14" applyFont="1" applyFill="1" applyBorder="1" applyAlignment="1">
      <alignment horizontal="center" vertical="center"/>
    </xf>
    <xf numFmtId="0" fontId="5" fillId="0" borderId="0" xfId="14" applyFont="1" applyFill="1" applyBorder="1" applyAlignment="1">
      <alignment horizontal="center" vertical="center"/>
    </xf>
    <xf numFmtId="0" fontId="0" fillId="0" borderId="4" xfId="14" applyFont="1" applyFill="1" applyBorder="1" applyAlignment="1">
      <alignment horizontal="right" vertical="center"/>
    </xf>
    <xf numFmtId="0" fontId="0" fillId="0" borderId="0" xfId="14" applyFont="1" applyFill="1" applyBorder="1" applyAlignment="1">
      <alignment horizontal="right" vertical="center"/>
    </xf>
    <xf numFmtId="168" fontId="23" fillId="0" borderId="0" xfId="18" applyNumberFormat="1" applyFont="1" applyBorder="1" applyAlignment="1">
      <alignment vertical="center"/>
    </xf>
    <xf numFmtId="10" fontId="3" fillId="0" borderId="0" xfId="14" applyNumberFormat="1" applyFont="1" applyFill="1" applyBorder="1" applyAlignment="1">
      <alignment vertical="center"/>
    </xf>
    <xf numFmtId="10" fontId="3" fillId="0" borderId="49" xfId="14" applyNumberFormat="1" applyFont="1" applyFill="1" applyBorder="1" applyAlignment="1">
      <alignment vertical="center"/>
    </xf>
    <xf numFmtId="10" fontId="0" fillId="0" borderId="49" xfId="18" applyNumberFormat="1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19" fillId="0" borderId="5" xfId="14" applyFont="1" applyBorder="1"/>
    <xf numFmtId="0" fontId="0" fillId="0" borderId="0" xfId="0" applyAlignment="1">
      <alignment horizontal="center"/>
    </xf>
    <xf numFmtId="0" fontId="10" fillId="0" borderId="31" xfId="14" applyFont="1" applyFill="1" applyBorder="1" applyAlignment="1">
      <alignment horizontal="center" vertical="center"/>
    </xf>
    <xf numFmtId="0" fontId="20" fillId="0" borderId="29" xfId="14" applyFont="1" applyFill="1" applyBorder="1" applyAlignment="1">
      <alignment horizontal="center" vertical="center"/>
    </xf>
    <xf numFmtId="0" fontId="20" fillId="0" borderId="31" xfId="14" applyFont="1" applyFill="1" applyBorder="1" applyAlignment="1">
      <alignment horizontal="center" vertical="center"/>
    </xf>
    <xf numFmtId="0" fontId="9" fillId="0" borderId="5" xfId="14" applyFont="1" applyBorder="1"/>
    <xf numFmtId="0" fontId="9" fillId="0" borderId="38" xfId="14" applyFont="1" applyBorder="1"/>
    <xf numFmtId="0" fontId="5" fillId="0" borderId="35" xfId="14" applyFont="1" applyFill="1" applyBorder="1" applyAlignment="1">
      <alignment horizontal="justify" vertical="center" wrapText="1"/>
    </xf>
    <xf numFmtId="0" fontId="19" fillId="0" borderId="38" xfId="14" applyFont="1" applyBorder="1"/>
    <xf numFmtId="10" fontId="11" fillId="0" borderId="19" xfId="18" applyNumberFormat="1" applyFont="1" applyBorder="1" applyAlignment="1">
      <alignment horizontal="center" vertical="center"/>
    </xf>
    <xf numFmtId="10" fontId="0" fillId="0" borderId="6" xfId="18" applyNumberFormat="1" applyFont="1" applyFill="1" applyBorder="1" applyAlignment="1" applyProtection="1">
      <alignment horizontal="center" vertical="center"/>
    </xf>
    <xf numFmtId="10" fontId="0" fillId="0" borderId="19" xfId="18" applyNumberFormat="1" applyFont="1" applyBorder="1" applyAlignment="1">
      <alignment horizontal="center" vertical="center"/>
    </xf>
    <xf numFmtId="10" fontId="0" fillId="0" borderId="6" xfId="18" applyNumberFormat="1" applyFont="1" applyBorder="1" applyAlignment="1">
      <alignment horizontal="center" vertical="center"/>
    </xf>
    <xf numFmtId="10" fontId="11" fillId="0" borderId="31" xfId="18" applyNumberFormat="1" applyFont="1" applyBorder="1" applyAlignment="1">
      <alignment horizontal="center" vertical="center"/>
    </xf>
    <xf numFmtId="10" fontId="0" fillId="0" borderId="29" xfId="18" applyNumberFormat="1" applyFont="1" applyBorder="1" applyAlignment="1">
      <alignment horizontal="center" vertical="center"/>
    </xf>
    <xf numFmtId="10" fontId="0" fillId="0" borderId="31" xfId="18" applyNumberFormat="1" applyFont="1" applyBorder="1" applyAlignment="1">
      <alignment horizontal="center" vertical="center"/>
    </xf>
    <xf numFmtId="10" fontId="11" fillId="0" borderId="5" xfId="18" applyNumberFormat="1" applyFont="1" applyBorder="1" applyAlignment="1">
      <alignment horizontal="center" vertical="center"/>
    </xf>
    <xf numFmtId="10" fontId="0" fillId="0" borderId="5" xfId="18" applyNumberFormat="1" applyFont="1" applyBorder="1" applyAlignment="1">
      <alignment horizontal="center" vertical="center"/>
    </xf>
    <xf numFmtId="10" fontId="11" fillId="0" borderId="38" xfId="18" applyNumberFormat="1" applyFont="1" applyBorder="1" applyAlignment="1">
      <alignment horizontal="center" vertical="center"/>
    </xf>
    <xf numFmtId="10" fontId="0" fillId="0" borderId="35" xfId="18" applyNumberFormat="1" applyFont="1" applyBorder="1" applyAlignment="1">
      <alignment horizontal="center" vertical="center"/>
    </xf>
    <xf numFmtId="10" fontId="0" fillId="0" borderId="38" xfId="18" applyNumberFormat="1" applyFont="1" applyBorder="1" applyAlignment="1">
      <alignment horizontal="center" vertical="center"/>
    </xf>
    <xf numFmtId="10" fontId="11" fillId="0" borderId="64" xfId="18" applyNumberFormat="1" applyFont="1" applyBorder="1" applyAlignment="1">
      <alignment horizontal="center" vertical="center"/>
    </xf>
    <xf numFmtId="10" fontId="0" fillId="5" borderId="5" xfId="18" applyNumberFormat="1" applyFont="1" applyFill="1" applyBorder="1" applyAlignment="1">
      <alignment vertical="center"/>
    </xf>
    <xf numFmtId="10" fontId="0" fillId="0" borderId="5" xfId="18" applyNumberFormat="1" applyFont="1" applyBorder="1" applyAlignment="1">
      <alignment vertical="center"/>
    </xf>
    <xf numFmtId="10" fontId="0" fillId="0" borderId="50" xfId="18" applyNumberFormat="1" applyFont="1" applyBorder="1" applyAlignment="1">
      <alignment vertical="center"/>
    </xf>
    <xf numFmtId="0" fontId="0" fillId="0" borderId="65" xfId="0" applyBorder="1"/>
    <xf numFmtId="0" fontId="0" fillId="0" borderId="11" xfId="0" applyBorder="1"/>
    <xf numFmtId="0" fontId="0" fillId="0" borderId="67" xfId="0" applyBorder="1"/>
    <xf numFmtId="0" fontId="0" fillId="0" borderId="0" xfId="0" applyBorder="1"/>
    <xf numFmtId="0" fontId="0" fillId="0" borderId="68" xfId="0" applyBorder="1"/>
    <xf numFmtId="0" fontId="3" fillId="0" borderId="0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10" fontId="17" fillId="0" borderId="70" xfId="0" applyNumberFormat="1" applyFont="1" applyBorder="1" applyAlignment="1">
      <alignment vertical="center"/>
    </xf>
    <xf numFmtId="10" fontId="17" fillId="0" borderId="18" xfId="0" applyNumberFormat="1" applyFont="1" applyBorder="1" applyAlignment="1">
      <alignment vertical="center"/>
    </xf>
    <xf numFmtId="0" fontId="5" fillId="0" borderId="0" xfId="5" applyFont="1"/>
    <xf numFmtId="0" fontId="25" fillId="8" borderId="18" xfId="15" applyFont="1" applyFill="1" applyBorder="1" applyAlignment="1">
      <alignment horizontal="center" vertical="center" wrapText="1"/>
    </xf>
    <xf numFmtId="0" fontId="25" fillId="8" borderId="18" xfId="15" applyFont="1" applyFill="1" applyBorder="1" applyAlignment="1">
      <alignment horizontal="left" vertical="center" wrapText="1"/>
    </xf>
    <xf numFmtId="166" fontId="25" fillId="8" borderId="18" xfId="4" applyNumberFormat="1" applyFont="1" applyFill="1" applyBorder="1" applyAlignment="1">
      <alignment horizontal="center" vertical="center" wrapText="1"/>
    </xf>
    <xf numFmtId="0" fontId="26" fillId="9" borderId="18" xfId="15" applyFont="1" applyFill="1" applyBorder="1" applyAlignment="1">
      <alignment horizontal="center" vertical="center" wrapText="1"/>
    </xf>
    <xf numFmtId="0" fontId="26" fillId="9" borderId="18" xfId="15" applyFont="1" applyFill="1" applyBorder="1" applyAlignment="1">
      <alignment horizontal="left" vertical="center" wrapText="1"/>
    </xf>
    <xf numFmtId="166" fontId="26" fillId="9" borderId="18" xfId="4" applyNumberFormat="1" applyFont="1" applyFill="1" applyBorder="1" applyAlignment="1">
      <alignment horizontal="center" vertical="center" wrapText="1"/>
    </xf>
    <xf numFmtId="2" fontId="26" fillId="5" borderId="18" xfId="4" applyNumberFormat="1" applyFont="1" applyFill="1" applyBorder="1" applyAlignment="1">
      <alignment horizontal="center" vertical="center" wrapText="1"/>
    </xf>
    <xf numFmtId="2" fontId="26" fillId="9" borderId="18" xfId="4" applyNumberFormat="1" applyFont="1" applyFill="1" applyBorder="1" applyAlignment="1">
      <alignment horizontal="center" vertical="center" wrapText="1"/>
    </xf>
    <xf numFmtId="4" fontId="27" fillId="0" borderId="18" xfId="5" applyNumberFormat="1" applyFont="1" applyFill="1" applyBorder="1" applyAlignment="1">
      <alignment horizontal="right" vertical="center"/>
    </xf>
    <xf numFmtId="4" fontId="27" fillId="0" borderId="18" xfId="5" applyNumberFormat="1" applyFont="1" applyBorder="1" applyAlignment="1">
      <alignment horizontal="right" vertical="center"/>
    </xf>
    <xf numFmtId="4" fontId="27" fillId="5" borderId="18" xfId="5" applyNumberFormat="1" applyFont="1" applyFill="1" applyBorder="1" applyAlignment="1">
      <alignment horizontal="right" vertical="center"/>
    </xf>
    <xf numFmtId="4" fontId="28" fillId="10" borderId="18" xfId="5" applyNumberFormat="1" applyFont="1" applyFill="1" applyBorder="1" applyAlignment="1">
      <alignment horizontal="right" vertical="center"/>
    </xf>
    <xf numFmtId="0" fontId="26" fillId="11" borderId="18" xfId="15" applyFont="1" applyFill="1" applyBorder="1" applyAlignment="1">
      <alignment horizontal="center" vertical="center" wrapText="1"/>
    </xf>
    <xf numFmtId="4" fontId="26" fillId="9" borderId="18" xfId="15" applyNumberFormat="1" applyFont="1" applyFill="1" applyBorder="1" applyAlignment="1">
      <alignment horizontal="center" vertical="center" wrapText="1"/>
    </xf>
    <xf numFmtId="0" fontId="0" fillId="0" borderId="75" xfId="0" applyBorder="1"/>
    <xf numFmtId="0" fontId="0" fillId="0" borderId="14" xfId="0" applyBorder="1"/>
    <xf numFmtId="10" fontId="0" fillId="0" borderId="0" xfId="3" applyNumberFormat="1" applyFont="1"/>
    <xf numFmtId="0" fontId="0" fillId="0" borderId="0" xfId="0" applyAlignment="1">
      <alignment vertical="center"/>
    </xf>
    <xf numFmtId="0" fontId="49" fillId="0" borderId="0" xfId="5"/>
    <xf numFmtId="0" fontId="0" fillId="0" borderId="4" xfId="5" applyFont="1" applyBorder="1"/>
    <xf numFmtId="0" fontId="0" fillId="0" borderId="0" xfId="5" applyFont="1" applyBorder="1"/>
    <xf numFmtId="4" fontId="0" fillId="0" borderId="0" xfId="5" applyNumberFormat="1" applyFont="1" applyBorder="1"/>
    <xf numFmtId="0" fontId="49" fillId="0" borderId="0" xfId="5" applyBorder="1" applyAlignment="1">
      <alignment vertical="center"/>
    </xf>
    <xf numFmtId="0" fontId="49" fillId="0" borderId="0" xfId="5" applyBorder="1"/>
    <xf numFmtId="0" fontId="5" fillId="0" borderId="4" xfId="0" applyFont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4" xfId="5" applyFont="1" applyBorder="1" applyAlignment="1">
      <alignment vertical="top"/>
    </xf>
    <xf numFmtId="0" fontId="5" fillId="0" borderId="0" xfId="5" applyFont="1" applyBorder="1" applyAlignment="1">
      <alignment wrapText="1"/>
    </xf>
    <xf numFmtId="0" fontId="30" fillId="0" borderId="4" xfId="5" applyFont="1" applyBorder="1" applyAlignment="1">
      <alignment horizontal="center" vertical="center"/>
    </xf>
    <xf numFmtId="0" fontId="30" fillId="0" borderId="0" xfId="5" applyFont="1" applyBorder="1" applyAlignment="1">
      <alignment horizontal="center" vertical="center"/>
    </xf>
    <xf numFmtId="0" fontId="31" fillId="0" borderId="4" xfId="5" applyFont="1" applyBorder="1" applyAlignment="1">
      <alignment vertical="center"/>
    </xf>
    <xf numFmtId="0" fontId="31" fillId="0" borderId="0" xfId="5" applyFont="1" applyBorder="1" applyAlignment="1">
      <alignment vertical="center"/>
    </xf>
    <xf numFmtId="0" fontId="32" fillId="0" borderId="0" xfId="5" applyFont="1" applyBorder="1" applyAlignment="1">
      <alignment vertical="center"/>
    </xf>
    <xf numFmtId="0" fontId="33" fillId="0" borderId="0" xfId="5" applyFont="1" applyBorder="1" applyAlignment="1">
      <alignment vertical="center"/>
    </xf>
    <xf numFmtId="0" fontId="31" fillId="0" borderId="4" xfId="5" applyFont="1" applyBorder="1"/>
    <xf numFmtId="0" fontId="31" fillId="0" borderId="0" xfId="5" applyFont="1" applyBorder="1"/>
    <xf numFmtId="2" fontId="32" fillId="5" borderId="0" xfId="5" applyNumberFormat="1" applyFont="1" applyFill="1" applyBorder="1"/>
    <xf numFmtId="2" fontId="31" fillId="5" borderId="0" xfId="5" applyNumberFormat="1" applyFont="1" applyFill="1" applyBorder="1"/>
    <xf numFmtId="2" fontId="32" fillId="0" borderId="76" xfId="5" applyNumberFormat="1" applyFont="1" applyBorder="1" applyAlignment="1">
      <alignment horizontal="center" vertical="center"/>
    </xf>
    <xf numFmtId="0" fontId="34" fillId="0" borderId="0" xfId="5" applyFont="1" applyBorder="1"/>
    <xf numFmtId="0" fontId="49" fillId="0" borderId="4" xfId="5" applyBorder="1"/>
    <xf numFmtId="2" fontId="31" fillId="0" borderId="0" xfId="5" applyNumberFormat="1" applyFont="1" applyBorder="1"/>
    <xf numFmtId="0" fontId="32" fillId="0" borderId="0" xfId="5" applyFont="1" applyBorder="1"/>
    <xf numFmtId="0" fontId="0" fillId="0" borderId="48" xfId="5" applyFont="1" applyBorder="1"/>
    <xf numFmtId="0" fontId="49" fillId="0" borderId="49" xfId="5" applyBorder="1"/>
    <xf numFmtId="0" fontId="0" fillId="0" borderId="49" xfId="5" applyFont="1" applyBorder="1"/>
    <xf numFmtId="0" fontId="49" fillId="0" borderId="5" xfId="5" applyBorder="1"/>
    <xf numFmtId="4" fontId="5" fillId="0" borderId="5" xfId="5" applyNumberFormat="1" applyFont="1" applyBorder="1"/>
    <xf numFmtId="0" fontId="49" fillId="0" borderId="50" xfId="5" applyBorder="1"/>
    <xf numFmtId="49" fontId="35" fillId="0" borderId="65" xfId="0" applyNumberFormat="1" applyFont="1" applyBorder="1" applyAlignment="1">
      <alignment vertical="top" wrapText="1"/>
    </xf>
    <xf numFmtId="49" fontId="35" fillId="0" borderId="67" xfId="0" applyNumberFormat="1" applyFont="1" applyBorder="1" applyAlignment="1">
      <alignment vertical="top" wrapText="1"/>
    </xf>
    <xf numFmtId="0" fontId="0" fillId="0" borderId="0" xfId="0" applyBorder="1" applyAlignment="1">
      <alignment horizontal="center"/>
    </xf>
    <xf numFmtId="49" fontId="37" fillId="0" borderId="67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/>
    </xf>
    <xf numFmtId="49" fontId="17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14" xfId="0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164" fontId="1" fillId="5" borderId="18" xfId="2" applyFont="1" applyFill="1" applyBorder="1" applyAlignment="1">
      <alignment horizontal="center"/>
    </xf>
    <xf numFmtId="43" fontId="1" fillId="0" borderId="18" xfId="2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164" fontId="0" fillId="0" borderId="18" xfId="2" applyFont="1" applyBorder="1" applyAlignment="1">
      <alignment horizontal="center"/>
    </xf>
    <xf numFmtId="10" fontId="3" fillId="13" borderId="18" xfId="3" applyNumberFormat="1" applyFont="1" applyFill="1" applyBorder="1" applyAlignment="1">
      <alignment horizontal="center"/>
    </xf>
    <xf numFmtId="164" fontId="0" fillId="5" borderId="8" xfId="2" applyFont="1" applyFill="1" applyBorder="1" applyAlignment="1"/>
    <xf numFmtId="164" fontId="0" fillId="5" borderId="18" xfId="2" applyFont="1" applyFill="1" applyBorder="1" applyAlignment="1">
      <alignment horizontal="center"/>
    </xf>
    <xf numFmtId="0" fontId="3" fillId="0" borderId="46" xfId="0" applyFont="1" applyBorder="1" applyAlignment="1">
      <alignment vertical="center"/>
    </xf>
    <xf numFmtId="164" fontId="0" fillId="5" borderId="46" xfId="2" applyFont="1" applyFill="1" applyBorder="1" applyAlignment="1"/>
    <xf numFmtId="49" fontId="3" fillId="0" borderId="18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left" vertical="center"/>
    </xf>
    <xf numFmtId="43" fontId="3" fillId="0" borderId="18" xfId="0" applyNumberFormat="1" applyFont="1" applyBorder="1" applyAlignment="1">
      <alignment horizontal="center"/>
    </xf>
    <xf numFmtId="43" fontId="3" fillId="0" borderId="18" xfId="0" applyNumberFormat="1" applyFont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3" fillId="0" borderId="18" xfId="0" applyFont="1" applyBorder="1"/>
    <xf numFmtId="43" fontId="1" fillId="0" borderId="18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43" fontId="0" fillId="0" borderId="0" xfId="0" applyNumberFormat="1"/>
    <xf numFmtId="10" fontId="0" fillId="0" borderId="0" xfId="0" applyNumberFormat="1"/>
    <xf numFmtId="0" fontId="0" fillId="4" borderId="0" xfId="5" applyFont="1" applyFill="1"/>
    <xf numFmtId="0" fontId="0" fillId="14" borderId="0" xfId="5" applyFont="1" applyFill="1"/>
    <xf numFmtId="0" fontId="0" fillId="0" borderId="0" xfId="5" applyFont="1"/>
    <xf numFmtId="0" fontId="0" fillId="0" borderId="0" xfId="5" applyFont="1" applyAlignment="1">
      <alignment wrapText="1"/>
    </xf>
    <xf numFmtId="4" fontId="0" fillId="0" borderId="0" xfId="5" applyNumberFormat="1" applyFont="1"/>
    <xf numFmtId="169" fontId="0" fillId="0" borderId="0" xfId="5" applyNumberFormat="1" applyFont="1"/>
    <xf numFmtId="169" fontId="0" fillId="0" borderId="0" xfId="5" applyNumberFormat="1" applyFont="1" applyAlignment="1">
      <alignment horizontal="right"/>
    </xf>
    <xf numFmtId="49" fontId="35" fillId="0" borderId="1" xfId="0" applyNumberFormat="1" applyFont="1" applyBorder="1" applyAlignment="1">
      <alignment vertical="top" wrapText="1"/>
    </xf>
    <xf numFmtId="49" fontId="35" fillId="0" borderId="2" xfId="0" applyNumberFormat="1" applyFont="1" applyBorder="1" applyAlignment="1">
      <alignment vertical="top" wrapText="1"/>
    </xf>
    <xf numFmtId="49" fontId="35" fillId="0" borderId="4" xfId="0" applyNumberFormat="1" applyFont="1" applyBorder="1" applyAlignment="1">
      <alignment vertical="top" wrapText="1"/>
    </xf>
    <xf numFmtId="49" fontId="35" fillId="0" borderId="0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69" fontId="0" fillId="0" borderId="0" xfId="0" applyNumberForma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69" fontId="5" fillId="0" borderId="0" xfId="0" applyNumberFormat="1" applyFont="1" applyBorder="1" applyAlignment="1">
      <alignment vertical="top"/>
    </xf>
    <xf numFmtId="10" fontId="5" fillId="0" borderId="0" xfId="0" applyNumberFormat="1" applyFont="1" applyBorder="1" applyAlignment="1">
      <alignment horizontal="left" wrapText="1"/>
    </xf>
    <xf numFmtId="10" fontId="5" fillId="0" borderId="0" xfId="3" applyNumberFormat="1" applyFont="1" applyBorder="1" applyAlignment="1">
      <alignment horizontal="left" wrapText="1"/>
    </xf>
    <xf numFmtId="0" fontId="5" fillId="0" borderId="4" xfId="5" applyFont="1" applyBorder="1"/>
    <xf numFmtId="0" fontId="3" fillId="0" borderId="0" xfId="5" applyNumberFormat="1" applyFont="1" applyBorder="1" applyAlignment="1">
      <alignment horizontal="justify" vertical="center" wrapText="1"/>
    </xf>
    <xf numFmtId="169" fontId="3" fillId="0" borderId="0" xfId="5" applyNumberFormat="1" applyFont="1" applyBorder="1" applyAlignment="1">
      <alignment horizontal="justify" vertical="center" wrapText="1"/>
    </xf>
    <xf numFmtId="0" fontId="5" fillId="15" borderId="6" xfId="5" applyFont="1" applyFill="1" applyBorder="1" applyAlignment="1">
      <alignment horizontal="center" vertical="center" wrapText="1"/>
    </xf>
    <xf numFmtId="0" fontId="5" fillId="15" borderId="7" xfId="5" applyFont="1" applyFill="1" applyBorder="1" applyAlignment="1">
      <alignment horizontal="center" vertical="center" wrapText="1"/>
    </xf>
    <xf numFmtId="0" fontId="5" fillId="15" borderId="7" xfId="5" applyFont="1" applyFill="1" applyBorder="1" applyAlignment="1">
      <alignment vertical="center" wrapText="1"/>
    </xf>
    <xf numFmtId="0" fontId="5" fillId="15" borderId="18" xfId="5" applyFont="1" applyFill="1" applyBorder="1" applyAlignment="1">
      <alignment horizontal="center" vertical="center" wrapText="1"/>
    </xf>
    <xf numFmtId="4" fontId="5" fillId="15" borderId="18" xfId="5" applyNumberFormat="1" applyFont="1" applyFill="1" applyBorder="1" applyAlignment="1">
      <alignment horizontal="center" vertical="center" wrapText="1"/>
    </xf>
    <xf numFmtId="169" fontId="5" fillId="15" borderId="18" xfId="5" applyNumberFormat="1" applyFont="1" applyFill="1" applyBorder="1" applyAlignment="1">
      <alignment horizontal="center" vertical="center" wrapText="1"/>
    </xf>
    <xf numFmtId="0" fontId="5" fillId="4" borderId="6" xfId="5" applyFont="1" applyFill="1" applyBorder="1" applyAlignment="1">
      <alignment horizontal="center" vertical="center"/>
    </xf>
    <xf numFmtId="0" fontId="0" fillId="4" borderId="18" xfId="5" applyFont="1" applyFill="1" applyBorder="1"/>
    <xf numFmtId="0" fontId="5" fillId="4" borderId="18" xfId="5" applyFont="1" applyFill="1" applyBorder="1" applyAlignment="1">
      <alignment vertical="center"/>
    </xf>
    <xf numFmtId="0" fontId="5" fillId="4" borderId="18" xfId="5" applyFont="1" applyFill="1" applyBorder="1" applyAlignment="1">
      <alignment vertical="center" wrapText="1"/>
    </xf>
    <xf numFmtId="0" fontId="0" fillId="0" borderId="6" xfId="5" applyFont="1" applyBorder="1" applyAlignment="1">
      <alignment horizontal="center" vertical="center"/>
    </xf>
    <xf numFmtId="0" fontId="0" fillId="0" borderId="18" xfId="5" applyFont="1" applyBorder="1" applyAlignment="1">
      <alignment horizontal="center" vertical="center"/>
    </xf>
    <xf numFmtId="0" fontId="40" fillId="5" borderId="18" xfId="5" applyFont="1" applyFill="1" applyBorder="1" applyAlignment="1">
      <alignment horizontal="center" vertical="center"/>
    </xf>
    <xf numFmtId="0" fontId="0" fillId="0" borderId="18" xfId="5" applyFont="1" applyBorder="1" applyAlignment="1">
      <alignment horizontal="left" vertical="center" wrapText="1"/>
    </xf>
    <xf numFmtId="0" fontId="0" fillId="0" borderId="18" xfId="5" applyFont="1" applyFill="1" applyBorder="1" applyAlignment="1">
      <alignment horizontal="center" vertical="center"/>
    </xf>
    <xf numFmtId="10" fontId="0" fillId="5" borderId="18" xfId="2" applyNumberFormat="1" applyFont="1" applyFill="1" applyBorder="1" applyAlignment="1">
      <alignment horizontal="center" vertical="center"/>
    </xf>
    <xf numFmtId="169" fontId="0" fillId="5" borderId="18" xfId="5" applyNumberFormat="1" applyFont="1" applyFill="1" applyBorder="1" applyAlignment="1">
      <alignment horizontal="right" vertical="center"/>
    </xf>
    <xf numFmtId="0" fontId="0" fillId="0" borderId="17" xfId="5" applyFont="1" applyBorder="1" applyAlignment="1">
      <alignment horizontal="center" vertical="center"/>
    </xf>
    <xf numFmtId="0" fontId="41" fillId="5" borderId="18" xfId="5" applyFont="1" applyFill="1" applyBorder="1" applyAlignment="1">
      <alignment horizontal="center" vertical="center"/>
    </xf>
    <xf numFmtId="164" fontId="0" fillId="5" borderId="18" xfId="2" applyFont="1" applyFill="1" applyBorder="1" applyAlignment="1">
      <alignment horizontal="center" vertical="center"/>
    </xf>
    <xf numFmtId="0" fontId="5" fillId="14" borderId="6" xfId="5" applyFont="1" applyFill="1" applyBorder="1" applyAlignment="1">
      <alignment horizontal="center" vertical="center"/>
    </xf>
    <xf numFmtId="0" fontId="5" fillId="14" borderId="18" xfId="5" applyFont="1" applyFill="1" applyBorder="1" applyAlignment="1">
      <alignment vertical="center"/>
    </xf>
    <xf numFmtId="0" fontId="5" fillId="14" borderId="18" xfId="5" applyFont="1" applyFill="1" applyBorder="1" applyAlignment="1">
      <alignment vertical="center" wrapText="1"/>
    </xf>
    <xf numFmtId="0" fontId="5" fillId="4" borderId="18" xfId="5" applyFont="1" applyFill="1" applyBorder="1" applyAlignment="1">
      <alignment horizontal="center" vertical="center"/>
    </xf>
    <xf numFmtId="0" fontId="42" fillId="5" borderId="4" xfId="5" applyFont="1" applyFill="1" applyBorder="1" applyAlignment="1">
      <alignment horizontal="center" vertical="center"/>
    </xf>
    <xf numFmtId="0" fontId="42" fillId="5" borderId="0" xfId="5" applyFont="1" applyFill="1" applyBorder="1" applyAlignment="1">
      <alignment horizontal="center" vertical="center"/>
    </xf>
    <xf numFmtId="0" fontId="42" fillId="5" borderId="0" xfId="5" applyFont="1" applyFill="1" applyBorder="1" applyAlignment="1">
      <alignment horizontal="center" vertical="center" wrapText="1"/>
    </xf>
    <xf numFmtId="0" fontId="42" fillId="5" borderId="11" xfId="5" applyFont="1" applyFill="1" applyBorder="1" applyAlignment="1">
      <alignment horizontal="center" vertical="center"/>
    </xf>
    <xf numFmtId="169" fontId="42" fillId="5" borderId="11" xfId="5" applyNumberFormat="1" applyFont="1" applyFill="1" applyBorder="1" applyAlignment="1">
      <alignment horizontal="center" vertical="center"/>
    </xf>
    <xf numFmtId="165" fontId="49" fillId="0" borderId="0" xfId="5" applyNumberFormat="1"/>
    <xf numFmtId="165" fontId="0" fillId="0" borderId="0" xfId="0" applyNumberFormat="1"/>
    <xf numFmtId="169" fontId="0" fillId="0" borderId="0" xfId="0" applyNumberFormat="1" applyBorder="1"/>
    <xf numFmtId="169" fontId="5" fillId="0" borderId="0" xfId="0" applyNumberFormat="1" applyFont="1" applyBorder="1" applyAlignment="1">
      <alignment wrapText="1"/>
    </xf>
    <xf numFmtId="10" fontId="44" fillId="0" borderId="19" xfId="3" applyNumberFormat="1" applyFont="1" applyBorder="1" applyAlignment="1">
      <alignment horizontal="center" vertical="center"/>
    </xf>
    <xf numFmtId="169" fontId="5" fillId="15" borderId="7" xfId="5" applyNumberFormat="1" applyFont="1" applyFill="1" applyBorder="1" applyAlignment="1">
      <alignment horizontal="center" vertical="center" wrapText="1"/>
    </xf>
    <xf numFmtId="4" fontId="5" fillId="15" borderId="19" xfId="5" applyNumberFormat="1" applyFont="1" applyFill="1" applyBorder="1" applyAlignment="1">
      <alignment horizontal="center" vertical="center" wrapText="1"/>
    </xf>
    <xf numFmtId="169" fontId="0" fillId="0" borderId="18" xfId="5" applyNumberFormat="1" applyFont="1" applyBorder="1" applyAlignment="1">
      <alignment horizontal="right" vertical="center"/>
    </xf>
    <xf numFmtId="169" fontId="0" fillId="0" borderId="19" xfId="5" applyNumberFormat="1" applyFont="1" applyBorder="1" applyAlignment="1">
      <alignment horizontal="right" vertical="center"/>
    </xf>
    <xf numFmtId="10" fontId="0" fillId="0" borderId="0" xfId="5" applyNumberFormat="1" applyFont="1"/>
    <xf numFmtId="169" fontId="0" fillId="0" borderId="7" xfId="5" applyNumberFormat="1" applyFont="1" applyBorder="1" applyAlignment="1">
      <alignment horizontal="right" vertical="center"/>
    </xf>
    <xf numFmtId="169" fontId="45" fillId="13" borderId="18" xfId="5" applyNumberFormat="1" applyFont="1" applyFill="1" applyBorder="1" applyAlignment="1">
      <alignment horizontal="right" vertical="center"/>
    </xf>
    <xf numFmtId="169" fontId="45" fillId="13" borderId="19" xfId="5" applyNumberFormat="1" applyFont="1" applyFill="1" applyBorder="1" applyAlignment="1">
      <alignment horizontal="right" vertical="center"/>
    </xf>
    <xf numFmtId="10" fontId="0" fillId="4" borderId="0" xfId="5" applyNumberFormat="1" applyFont="1" applyFill="1"/>
    <xf numFmtId="169" fontId="45" fillId="16" borderId="18" xfId="5" applyNumberFormat="1" applyFont="1" applyFill="1" applyBorder="1" applyAlignment="1">
      <alignment horizontal="right" vertical="center"/>
    </xf>
    <xf numFmtId="169" fontId="45" fillId="16" borderId="19" xfId="5" applyNumberFormat="1" applyFont="1" applyFill="1" applyBorder="1" applyAlignment="1">
      <alignment horizontal="right" vertical="center"/>
    </xf>
    <xf numFmtId="169" fontId="42" fillId="5" borderId="18" xfId="5" applyNumberFormat="1" applyFont="1" applyFill="1" applyBorder="1" applyAlignment="1">
      <alignment horizontal="center" vertical="center"/>
    </xf>
    <xf numFmtId="0" fontId="0" fillId="0" borderId="19" xfId="5" applyFont="1" applyBorder="1"/>
    <xf numFmtId="169" fontId="39" fillId="17" borderId="31" xfId="5" applyNumberFormat="1" applyFont="1" applyFill="1" applyBorder="1" applyAlignment="1">
      <alignment horizontal="right" vertical="center"/>
    </xf>
    <xf numFmtId="0" fontId="11" fillId="0" borderId="18" xfId="5" applyFont="1" applyBorder="1" applyAlignment="1">
      <alignment horizontal="center" vertical="center"/>
    </xf>
    <xf numFmtId="0" fontId="11" fillId="0" borderId="18" xfId="5" applyFont="1" applyBorder="1" applyAlignment="1">
      <alignment horizontal="left" vertical="center" wrapText="1"/>
    </xf>
    <xf numFmtId="0" fontId="5" fillId="0" borderId="18" xfId="21" applyFont="1" applyBorder="1" applyAlignment="1">
      <alignment horizontal="center" vertical="center"/>
    </xf>
    <xf numFmtId="0" fontId="5" fillId="0" borderId="18" xfId="21" applyFont="1" applyBorder="1" applyAlignment="1">
      <alignment vertical="center"/>
    </xf>
    <xf numFmtId="0" fontId="0" fillId="0" borderId="18" xfId="21" applyFont="1" applyBorder="1" applyAlignment="1">
      <alignment horizontal="center" vertical="center"/>
    </xf>
    <xf numFmtId="0" fontId="0" fillId="0" borderId="18" xfId="21" applyFont="1" applyBorder="1" applyAlignment="1">
      <alignment horizontal="left" vertical="center" wrapText="1"/>
    </xf>
    <xf numFmtId="0" fontId="0" fillId="0" borderId="18" xfId="21" applyFont="1" applyFill="1" applyBorder="1" applyAlignment="1">
      <alignment horizontal="center" vertical="center"/>
    </xf>
    <xf numFmtId="164" fontId="0" fillId="5" borderId="18" xfId="22" applyFont="1" applyFill="1" applyBorder="1" applyAlignment="1">
      <alignment horizontal="right" vertical="center" wrapText="1"/>
    </xf>
    <xf numFmtId="4" fontId="0" fillId="5" borderId="18" xfId="21" applyNumberFormat="1" applyFont="1" applyFill="1" applyBorder="1" applyAlignment="1">
      <alignment horizontal="right" vertical="center"/>
    </xf>
    <xf numFmtId="0" fontId="5" fillId="0" borderId="18" xfId="21" applyFont="1" applyBorder="1" applyAlignment="1">
      <alignment horizontal="left" vertical="center" wrapText="1"/>
    </xf>
    <xf numFmtId="0" fontId="1" fillId="0" borderId="0" xfId="24"/>
    <xf numFmtId="0" fontId="11" fillId="0" borderId="0" xfId="25" applyFont="1"/>
    <xf numFmtId="49" fontId="21" fillId="0" borderId="85" xfId="25" applyNumberFormat="1" applyFont="1" applyFill="1" applyBorder="1" applyAlignment="1">
      <alignment horizontal="center" vertical="center"/>
    </xf>
    <xf numFmtId="49" fontId="21" fillId="0" borderId="83" xfId="25" applyNumberFormat="1" applyFont="1" applyFill="1" applyBorder="1" applyAlignment="1">
      <alignment horizontal="center" vertical="center"/>
    </xf>
    <xf numFmtId="0" fontId="21" fillId="0" borderId="86" xfId="25" applyFont="1" applyFill="1" applyBorder="1" applyAlignment="1">
      <alignment horizontal="center"/>
    </xf>
    <xf numFmtId="170" fontId="21" fillId="0" borderId="87" xfId="24" applyNumberFormat="1" applyFont="1" applyFill="1" applyBorder="1" applyAlignment="1">
      <alignment horizontal="center"/>
    </xf>
    <xf numFmtId="166" fontId="40" fillId="0" borderId="0" xfId="25" applyNumberFormat="1" applyFont="1" applyFill="1" applyBorder="1" applyAlignment="1">
      <alignment horizontal="center"/>
    </xf>
    <xf numFmtId="166" fontId="40" fillId="0" borderId="88" xfId="25" applyNumberFormat="1" applyFont="1" applyFill="1" applyBorder="1" applyAlignment="1">
      <alignment horizontal="center"/>
    </xf>
    <xf numFmtId="0" fontId="21" fillId="0" borderId="82" xfId="25" applyFont="1" applyFill="1" applyBorder="1" applyAlignment="1">
      <alignment horizontal="center"/>
    </xf>
    <xf numFmtId="170" fontId="21" fillId="0" borderId="80" xfId="24" applyNumberFormat="1" applyFont="1" applyFill="1" applyBorder="1" applyAlignment="1">
      <alignment horizontal="center"/>
    </xf>
    <xf numFmtId="0" fontId="40" fillId="0" borderId="0" xfId="25" applyFont="1"/>
    <xf numFmtId="0" fontId="1" fillId="0" borderId="0" xfId="24" applyFont="1"/>
    <xf numFmtId="0" fontId="1" fillId="0" borderId="0" xfId="0" applyFont="1" applyFill="1" applyBorder="1" applyProtection="1"/>
    <xf numFmtId="0" fontId="54" fillId="0" borderId="0" xfId="0" quotePrefix="1" applyFont="1" applyFill="1" applyBorder="1" applyAlignment="1" applyProtection="1">
      <alignment horizontal="center" vertical="center"/>
    </xf>
    <xf numFmtId="0" fontId="1" fillId="0" borderId="0" xfId="0" applyFont="1" applyBorder="1" applyProtection="1"/>
    <xf numFmtId="0" fontId="5" fillId="18" borderId="93" xfId="0" applyFont="1" applyFill="1" applyBorder="1" applyAlignment="1" applyProtection="1">
      <alignment horizontal="center" vertical="center"/>
    </xf>
    <xf numFmtId="0" fontId="5" fillId="18" borderId="94" xfId="0" applyFont="1" applyFill="1" applyBorder="1" applyAlignment="1" applyProtection="1">
      <alignment horizontal="center" vertical="center"/>
    </xf>
    <xf numFmtId="0" fontId="21" fillId="0" borderId="90" xfId="0" applyFont="1" applyFill="1" applyBorder="1" applyAlignment="1" applyProtection="1">
      <alignment horizontal="center"/>
    </xf>
    <xf numFmtId="170" fontId="5" fillId="0" borderId="90" xfId="0" applyNumberFormat="1" applyFont="1" applyFill="1" applyBorder="1" applyAlignment="1" applyProtection="1">
      <alignment horizontal="center"/>
    </xf>
    <xf numFmtId="170" fontId="11" fillId="0" borderId="90" xfId="0" applyNumberFormat="1" applyFont="1" applyFill="1" applyBorder="1" applyAlignment="1" applyProtection="1">
      <alignment horizontal="center"/>
    </xf>
    <xf numFmtId="166" fontId="11" fillId="0" borderId="90" xfId="0" applyNumberFormat="1" applyFont="1" applyFill="1" applyBorder="1" applyAlignment="1" applyProtection="1">
      <alignment horizontal="center"/>
    </xf>
    <xf numFmtId="171" fontId="11" fillId="0" borderId="90" xfId="2" applyNumberFormat="1" applyFont="1" applyFill="1" applyBorder="1" applyAlignment="1" applyProtection="1">
      <alignment horizontal="center"/>
    </xf>
    <xf numFmtId="172" fontId="11" fillId="0" borderId="90" xfId="2" applyNumberFormat="1" applyFont="1" applyFill="1" applyBorder="1" applyAlignment="1" applyProtection="1">
      <alignment horizontal="center"/>
    </xf>
    <xf numFmtId="0" fontId="21" fillId="0" borderId="76" xfId="0" applyFont="1" applyFill="1" applyBorder="1" applyAlignment="1" applyProtection="1">
      <alignment horizontal="center"/>
    </xf>
    <xf numFmtId="170" fontId="5" fillId="0" borderId="76" xfId="0" applyNumberFormat="1" applyFont="1" applyFill="1" applyBorder="1" applyAlignment="1" applyProtection="1">
      <alignment horizontal="center"/>
    </xf>
    <xf numFmtId="170" fontId="11" fillId="0" borderId="76" xfId="0" applyNumberFormat="1" applyFont="1" applyFill="1" applyBorder="1" applyAlignment="1" applyProtection="1">
      <alignment horizontal="center"/>
    </xf>
    <xf numFmtId="166" fontId="11" fillId="0" borderId="76" xfId="0" applyNumberFormat="1" applyFont="1" applyFill="1" applyBorder="1" applyAlignment="1" applyProtection="1">
      <alignment horizontal="center"/>
    </xf>
    <xf numFmtId="171" fontId="11" fillId="0" borderId="76" xfId="2" applyNumberFormat="1" applyFont="1" applyFill="1" applyBorder="1" applyAlignment="1" applyProtection="1">
      <alignment horizontal="center"/>
    </xf>
    <xf numFmtId="172" fontId="11" fillId="0" borderId="76" xfId="2" applyNumberFormat="1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170" fontId="5" fillId="0" borderId="0" xfId="0" applyNumberFormat="1" applyFont="1" applyFill="1" applyBorder="1" applyAlignment="1" applyProtection="1">
      <alignment horizontal="center"/>
    </xf>
    <xf numFmtId="170" fontId="11" fillId="0" borderId="0" xfId="0" applyNumberFormat="1" applyFont="1" applyFill="1" applyBorder="1" applyAlignment="1" applyProtection="1">
      <alignment horizontal="center"/>
    </xf>
    <xf numFmtId="166" fontId="11" fillId="0" borderId="0" xfId="0" applyNumberFormat="1" applyFont="1" applyFill="1" applyBorder="1" applyAlignment="1" applyProtection="1">
      <alignment horizontal="center"/>
    </xf>
    <xf numFmtId="171" fontId="11" fillId="0" borderId="0" xfId="2" applyNumberFormat="1" applyFont="1" applyFill="1" applyBorder="1" applyAlignment="1" applyProtection="1">
      <alignment horizontal="center"/>
    </xf>
    <xf numFmtId="172" fontId="11" fillId="0" borderId="0" xfId="2" applyNumberFormat="1" applyFont="1" applyFill="1" applyBorder="1" applyAlignment="1" applyProtection="1">
      <alignment horizontal="center"/>
    </xf>
    <xf numFmtId="0" fontId="11" fillId="0" borderId="0" xfId="0" applyFont="1" applyBorder="1" applyProtection="1"/>
    <xf numFmtId="172" fontId="5" fillId="0" borderId="0" xfId="2" applyNumberFormat="1" applyFont="1" applyFill="1" applyBorder="1" applyAlignment="1" applyProtection="1">
      <alignment horizontal="center"/>
    </xf>
    <xf numFmtId="0" fontId="11" fillId="0" borderId="0" xfId="0" applyFont="1" applyFill="1" applyBorder="1" applyProtection="1"/>
    <xf numFmtId="172" fontId="5" fillId="0" borderId="0" xfId="2" applyNumberFormat="1" applyFont="1" applyFill="1" applyBorder="1" applyProtection="1"/>
    <xf numFmtId="0" fontId="39" fillId="0" borderId="0" xfId="0" applyFont="1" applyFill="1" applyBorder="1" applyAlignment="1" applyProtection="1">
      <alignment horizontal="right"/>
    </xf>
    <xf numFmtId="172" fontId="2" fillId="0" borderId="0" xfId="0" applyNumberFormat="1" applyFont="1" applyFill="1" applyBorder="1" applyProtection="1"/>
    <xf numFmtId="0" fontId="59" fillId="0" borderId="0" xfId="0" applyFont="1"/>
    <xf numFmtId="0" fontId="54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61" fillId="0" borderId="0" xfId="0" applyFont="1"/>
    <xf numFmtId="0" fontId="62" fillId="0" borderId="0" xfId="0" applyFont="1" applyBorder="1" applyAlignment="1">
      <alignment horizontal="centerContinuous"/>
    </xf>
    <xf numFmtId="2" fontId="63" fillId="0" borderId="0" xfId="0" applyNumberFormat="1" applyFont="1" applyBorder="1" applyAlignment="1">
      <alignment horizontal="left"/>
    </xf>
    <xf numFmtId="0" fontId="65" fillId="0" borderId="0" xfId="0" applyFont="1"/>
    <xf numFmtId="0" fontId="59" fillId="0" borderId="0" xfId="0" applyFont="1" applyBorder="1"/>
    <xf numFmtId="0" fontId="11" fillId="0" borderId="0" xfId="0" applyFont="1"/>
    <xf numFmtId="0" fontId="65" fillId="0" borderId="0" xfId="0" applyFont="1" applyBorder="1" applyAlignment="1">
      <alignment horizontal="left"/>
    </xf>
    <xf numFmtId="2" fontId="65" fillId="0" borderId="0" xfId="0" applyNumberFormat="1" applyFont="1" applyBorder="1" applyAlignment="1">
      <alignment horizontal="left"/>
    </xf>
    <xf numFmtId="4" fontId="11" fillId="0" borderId="0" xfId="0" applyNumberFormat="1" applyFont="1" applyBorder="1" applyAlignment="1">
      <alignment horizontal="left" vertical="center" wrapText="1"/>
    </xf>
    <xf numFmtId="37" fontId="11" fillId="0" borderId="0" xfId="2" applyNumberFormat="1" applyFont="1" applyAlignment="1">
      <alignment horizontal="left"/>
    </xf>
    <xf numFmtId="37" fontId="65" fillId="0" borderId="0" xfId="2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65" fillId="0" borderId="0" xfId="0" applyFont="1" applyBorder="1" applyAlignment="1">
      <alignment horizontal="right"/>
    </xf>
    <xf numFmtId="20" fontId="59" fillId="0" borderId="0" xfId="0" applyNumberFormat="1" applyFont="1"/>
    <xf numFmtId="2" fontId="11" fillId="0" borderId="0" xfId="0" applyNumberFormat="1" applyFont="1" applyBorder="1" applyAlignment="1">
      <alignment horizontal="left"/>
    </xf>
    <xf numFmtId="49" fontId="65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4" fillId="0" borderId="0" xfId="0" applyFont="1" applyFill="1" applyBorder="1" applyAlignment="1">
      <alignment horizontal="right"/>
    </xf>
    <xf numFmtId="0" fontId="60" fillId="0" borderId="0" xfId="0" applyFont="1" applyBorder="1" applyAlignment="1">
      <alignment horizontal="center"/>
    </xf>
    <xf numFmtId="0" fontId="52" fillId="0" borderId="78" xfId="23" applyFill="1" applyAlignment="1">
      <alignment vertical="center"/>
    </xf>
    <xf numFmtId="0" fontId="40" fillId="0" borderId="0" xfId="0" applyFont="1" applyBorder="1" applyAlignment="1">
      <alignment horizontal="center"/>
    </xf>
    <xf numFmtId="2" fontId="40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35" fillId="0" borderId="1" xfId="21" applyNumberFormat="1" applyFont="1" applyBorder="1" applyAlignment="1">
      <alignment vertical="top" wrapText="1"/>
    </xf>
    <xf numFmtId="0" fontId="11" fillId="0" borderId="0" xfId="21" applyAlignment="1">
      <alignment vertical="center"/>
    </xf>
    <xf numFmtId="49" fontId="35" fillId="0" borderId="4" xfId="21" applyNumberFormat="1" applyFont="1" applyBorder="1" applyAlignment="1">
      <alignment vertical="top" wrapText="1"/>
    </xf>
    <xf numFmtId="49" fontId="35" fillId="0" borderId="65" xfId="21" applyNumberFormat="1" applyFont="1" applyBorder="1" applyAlignment="1">
      <alignment vertical="top" wrapText="1"/>
    </xf>
    <xf numFmtId="49" fontId="36" fillId="0" borderId="11" xfId="21" applyNumberFormat="1" applyFont="1" applyBorder="1" applyAlignment="1">
      <alignment horizontal="left" vertical="top" wrapText="1"/>
    </xf>
    <xf numFmtId="0" fontId="11" fillId="0" borderId="66" xfId="21" applyBorder="1" applyAlignment="1">
      <alignment vertical="center"/>
    </xf>
    <xf numFmtId="0" fontId="11" fillId="0" borderId="0" xfId="21" applyFont="1" applyAlignment="1">
      <alignment vertical="center"/>
    </xf>
    <xf numFmtId="0" fontId="11" fillId="0" borderId="67" xfId="21" applyFont="1" applyBorder="1" applyAlignment="1">
      <alignment vertical="center"/>
    </xf>
    <xf numFmtId="0" fontId="39" fillId="0" borderId="0" xfId="21" applyFont="1" applyBorder="1"/>
    <xf numFmtId="0" fontId="33" fillId="0" borderId="0" xfId="21" applyFont="1" applyBorder="1" applyAlignment="1">
      <alignment vertical="center"/>
    </xf>
    <xf numFmtId="0" fontId="11" fillId="0" borderId="68" xfId="21" applyBorder="1" applyAlignment="1">
      <alignment vertical="center"/>
    </xf>
    <xf numFmtId="2" fontId="11" fillId="0" borderId="0" xfId="21" applyNumberFormat="1" applyAlignment="1">
      <alignment vertical="center"/>
    </xf>
    <xf numFmtId="164" fontId="11" fillId="5" borderId="18" xfId="22" applyFont="1" applyFill="1" applyBorder="1" applyAlignment="1">
      <alignment horizontal="right" vertical="center" wrapText="1"/>
    </xf>
    <xf numFmtId="49" fontId="38" fillId="0" borderId="2" xfId="0" applyNumberFormat="1" applyFont="1" applyBorder="1" applyAlignment="1">
      <alignment horizontal="center" vertical="top" wrapText="1"/>
    </xf>
    <xf numFmtId="169" fontId="38" fillId="0" borderId="2" xfId="0" applyNumberFormat="1" applyFont="1" applyBorder="1" applyAlignment="1">
      <alignment horizontal="center" vertical="top" wrapText="1"/>
    </xf>
    <xf numFmtId="49" fontId="38" fillId="0" borderId="0" xfId="0" applyNumberFormat="1" applyFont="1" applyBorder="1" applyAlignment="1">
      <alignment horizontal="center" vertical="top" wrapText="1"/>
    </xf>
    <xf numFmtId="169" fontId="38" fillId="0" borderId="0" xfId="0" applyNumberFormat="1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69" fontId="5" fillId="0" borderId="1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39" fillId="0" borderId="16" xfId="5" applyFont="1" applyBorder="1" applyAlignment="1">
      <alignment horizontal="center" vertical="center"/>
    </xf>
    <xf numFmtId="0" fontId="39" fillId="0" borderId="8" xfId="5" applyFont="1" applyBorder="1" applyAlignment="1">
      <alignment horizontal="center" vertical="center"/>
    </xf>
    <xf numFmtId="0" fontId="39" fillId="0" borderId="8" xfId="5" applyFont="1" applyBorder="1" applyAlignment="1">
      <alignment horizontal="center" vertical="center" wrapText="1"/>
    </xf>
    <xf numFmtId="169" fontId="39" fillId="0" borderId="8" xfId="5" applyNumberFormat="1" applyFont="1" applyBorder="1" applyAlignment="1">
      <alignment horizontal="center" vertical="center"/>
    </xf>
    <xf numFmtId="169" fontId="39" fillId="0" borderId="17" xfId="5" applyNumberFormat="1" applyFont="1" applyBorder="1" applyAlignment="1">
      <alignment horizontal="center" vertical="center"/>
    </xf>
    <xf numFmtId="0" fontId="0" fillId="4" borderId="7" xfId="5" applyFont="1" applyFill="1" applyBorder="1" applyAlignment="1">
      <alignment horizontal="center" vertical="center"/>
    </xf>
    <xf numFmtId="0" fontId="0" fillId="4" borderId="8" xfId="5" applyFont="1" applyFill="1" applyBorder="1" applyAlignment="1">
      <alignment horizontal="center" vertical="center"/>
    </xf>
    <xf numFmtId="0" fontId="0" fillId="4" borderId="9" xfId="5" applyFont="1" applyFill="1" applyBorder="1" applyAlignment="1">
      <alignment horizontal="center" vertical="center"/>
    </xf>
    <xf numFmtId="4" fontId="17" fillId="0" borderId="7" xfId="5" applyNumberFormat="1" applyFont="1" applyFill="1" applyBorder="1" applyAlignment="1">
      <alignment horizontal="center" vertical="center"/>
    </xf>
    <xf numFmtId="4" fontId="17" fillId="0" borderId="8" xfId="5" applyNumberFormat="1" applyFont="1" applyFill="1" applyBorder="1" applyAlignment="1">
      <alignment horizontal="center" vertical="center"/>
    </xf>
    <xf numFmtId="4" fontId="17" fillId="0" borderId="17" xfId="5" applyNumberFormat="1" applyFont="1" applyFill="1" applyBorder="1" applyAlignment="1">
      <alignment horizontal="center" vertical="center"/>
    </xf>
    <xf numFmtId="0" fontId="0" fillId="14" borderId="7" xfId="5" applyFont="1" applyFill="1" applyBorder="1" applyAlignment="1">
      <alignment horizontal="center" vertical="center"/>
    </xf>
    <xf numFmtId="0" fontId="0" fillId="14" borderId="8" xfId="5" applyFont="1" applyFill="1" applyBorder="1" applyAlignment="1">
      <alignment horizontal="center" vertical="center"/>
    </xf>
    <xf numFmtId="0" fontId="0" fillId="14" borderId="9" xfId="5" applyFont="1" applyFill="1" applyBorder="1" applyAlignment="1">
      <alignment horizontal="center" vertical="center"/>
    </xf>
    <xf numFmtId="0" fontId="0" fillId="0" borderId="6" xfId="5" applyFont="1" applyBorder="1" applyAlignment="1">
      <alignment horizontal="center" vertical="center"/>
    </xf>
    <xf numFmtId="0" fontId="0" fillId="0" borderId="18" xfId="5" applyFont="1" applyBorder="1" applyAlignment="1">
      <alignment horizontal="center" vertical="center"/>
    </xf>
    <xf numFmtId="0" fontId="0" fillId="0" borderId="18" xfId="5" applyFont="1" applyBorder="1" applyAlignment="1">
      <alignment horizontal="center" vertical="center" wrapText="1"/>
    </xf>
    <xf numFmtId="4" fontId="17" fillId="0" borderId="18" xfId="5" applyNumberFormat="1" applyFont="1" applyFill="1" applyBorder="1" applyAlignment="1">
      <alignment horizontal="center" vertical="center"/>
    </xf>
    <xf numFmtId="169" fontId="17" fillId="0" borderId="18" xfId="5" applyNumberFormat="1" applyFont="1" applyFill="1" applyBorder="1" applyAlignment="1">
      <alignment horizontal="center" vertical="center"/>
    </xf>
    <xf numFmtId="0" fontId="0" fillId="0" borderId="48" xfId="5" applyFont="1" applyBorder="1" applyAlignment="1">
      <alignment horizontal="center" vertical="center"/>
    </xf>
    <xf numFmtId="0" fontId="0" fillId="0" borderId="49" xfId="5" applyFont="1" applyBorder="1" applyAlignment="1">
      <alignment horizontal="center" vertical="center"/>
    </xf>
    <xf numFmtId="0" fontId="0" fillId="0" borderId="63" xfId="5" applyFont="1" applyBorder="1" applyAlignment="1">
      <alignment horizontal="center" vertical="center" wrapText="1"/>
    </xf>
    <xf numFmtId="4" fontId="39" fillId="0" borderId="30" xfId="5" applyNumberFormat="1" applyFont="1" applyBorder="1" applyAlignment="1">
      <alignment horizontal="center" vertical="center"/>
    </xf>
    <xf numFmtId="169" fontId="39" fillId="0" borderId="30" xfId="5" applyNumberFormat="1" applyFont="1" applyBorder="1" applyAlignment="1">
      <alignment horizontal="center" vertical="center"/>
    </xf>
    <xf numFmtId="169" fontId="39" fillId="0" borderId="42" xfId="5" applyNumberFormat="1" applyFont="1" applyBorder="1" applyAlignment="1">
      <alignment horizontal="center" vertical="center"/>
    </xf>
    <xf numFmtId="49" fontId="43" fillId="0" borderId="38" xfId="0" applyNumberFormat="1" applyFont="1" applyBorder="1" applyAlignment="1">
      <alignment horizontal="center" vertical="center" wrapText="1"/>
    </xf>
    <xf numFmtId="49" fontId="43" fillId="0" borderId="19" xfId="0" applyNumberFormat="1" applyFont="1" applyBorder="1" applyAlignment="1">
      <alignment horizontal="center" vertical="center" wrapText="1"/>
    </xf>
    <xf numFmtId="0" fontId="0" fillId="0" borderId="16" xfId="5" applyFont="1" applyBorder="1" applyAlignment="1">
      <alignment horizontal="center" vertical="center"/>
    </xf>
    <xf numFmtId="0" fontId="0" fillId="0" borderId="8" xfId="5" applyFont="1" applyBorder="1" applyAlignment="1">
      <alignment horizontal="center" vertical="center"/>
    </xf>
    <xf numFmtId="0" fontId="0" fillId="0" borderId="17" xfId="5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top" wrapText="1"/>
    </xf>
    <xf numFmtId="0" fontId="5" fillId="0" borderId="67" xfId="5" applyFont="1" applyBorder="1" applyAlignment="1">
      <alignment horizontal="center" vertical="top" wrapText="1"/>
    </xf>
    <xf numFmtId="0" fontId="5" fillId="0" borderId="0" xfId="5" applyFont="1" applyBorder="1" applyAlignment="1">
      <alignment horizontal="center" vertical="top" wrapText="1"/>
    </xf>
    <xf numFmtId="0" fontId="16" fillId="12" borderId="67" xfId="0" applyFont="1" applyFill="1" applyBorder="1" applyAlignment="1">
      <alignment horizontal="center" vertical="center"/>
    </xf>
    <xf numFmtId="0" fontId="16" fillId="12" borderId="0" xfId="0" applyFont="1" applyFill="1" applyBorder="1" applyAlignment="1">
      <alignment horizontal="center" vertical="center"/>
    </xf>
    <xf numFmtId="0" fontId="3" fillId="12" borderId="18" xfId="0" applyFont="1" applyFill="1" applyBorder="1" applyAlignment="1">
      <alignment horizontal="center" vertical="center"/>
    </xf>
    <xf numFmtId="43" fontId="3" fillId="0" borderId="46" xfId="0" applyNumberFormat="1" applyFont="1" applyBorder="1" applyAlignment="1">
      <alignment horizontal="center"/>
    </xf>
    <xf numFmtId="43" fontId="3" fillId="0" borderId="77" xfId="0" applyNumberFormat="1" applyFont="1" applyBorder="1" applyAlignment="1">
      <alignment horizontal="center"/>
    </xf>
    <xf numFmtId="43" fontId="3" fillId="0" borderId="4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0" fillId="0" borderId="0" xfId="0" applyFont="1" applyBorder="1" applyAlignment="1">
      <alignment horizontal="center"/>
    </xf>
    <xf numFmtId="0" fontId="52" fillId="0" borderId="0" xfId="23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64" fillId="0" borderId="0" xfId="0" applyFont="1" applyFill="1" applyBorder="1" applyAlignment="1">
      <alignment horizontal="right"/>
    </xf>
    <xf numFmtId="0" fontId="64" fillId="0" borderId="0" xfId="0" applyFont="1" applyAlignment="1">
      <alignment horizontal="right"/>
    </xf>
    <xf numFmtId="0" fontId="2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5" fillId="18" borderId="90" xfId="0" applyFont="1" applyFill="1" applyBorder="1" applyAlignment="1" applyProtection="1">
      <alignment horizontal="center" vertical="center"/>
    </xf>
    <xf numFmtId="0" fontId="5" fillId="18" borderId="91" xfId="0" applyFont="1" applyFill="1" applyBorder="1" applyAlignment="1" applyProtection="1">
      <alignment horizontal="center" vertical="center"/>
    </xf>
    <xf numFmtId="0" fontId="50" fillId="0" borderId="79" xfId="19" applyFill="1" applyAlignment="1" applyProtection="1">
      <alignment horizontal="right"/>
    </xf>
    <xf numFmtId="0" fontId="52" fillId="0" borderId="78" xfId="23" applyFill="1" applyAlignment="1" applyProtection="1">
      <alignment horizontal="right"/>
    </xf>
    <xf numFmtId="0" fontId="65" fillId="0" borderId="0" xfId="0" applyFont="1" applyAlignment="1">
      <alignment horizontal="right"/>
    </xf>
    <xf numFmtId="0" fontId="52" fillId="0" borderId="78" xfId="23" applyFill="1" applyAlignment="1" applyProtection="1">
      <alignment horizontal="right" vertical="center"/>
    </xf>
    <xf numFmtId="0" fontId="52" fillId="0" borderId="78" xfId="23" quotePrefix="1" applyFill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0" fontId="5" fillId="18" borderId="89" xfId="0" applyFont="1" applyFill="1" applyBorder="1" applyAlignment="1" applyProtection="1">
      <alignment horizontal="center" vertical="center"/>
    </xf>
    <xf numFmtId="0" fontId="5" fillId="18" borderId="92" xfId="0" applyFont="1" applyFill="1" applyBorder="1" applyAlignment="1" applyProtection="1">
      <alignment horizontal="center" vertical="center"/>
    </xf>
    <xf numFmtId="0" fontId="5" fillId="18" borderId="90" xfId="0" applyFont="1" applyFill="1" applyBorder="1" applyAlignment="1" applyProtection="1">
      <alignment horizontal="center" vertical="center" wrapText="1"/>
    </xf>
    <xf numFmtId="0" fontId="5" fillId="18" borderId="93" xfId="0" applyFont="1" applyFill="1" applyBorder="1" applyAlignment="1" applyProtection="1">
      <alignment horizontal="center" vertical="center"/>
    </xf>
    <xf numFmtId="0" fontId="5" fillId="18" borderId="93" xfId="0" quotePrefix="1" applyFont="1" applyFill="1" applyBorder="1" applyAlignment="1" applyProtection="1">
      <alignment horizontal="center" vertical="center"/>
    </xf>
    <xf numFmtId="0" fontId="52" fillId="0" borderId="78" xfId="23" applyFill="1" applyAlignment="1">
      <alignment horizontal="right" vertical="center"/>
    </xf>
    <xf numFmtId="0" fontId="5" fillId="0" borderId="0" xfId="25" applyFont="1" applyAlignment="1">
      <alignment horizontal="center" vertical="center"/>
    </xf>
    <xf numFmtId="0" fontId="5" fillId="0" borderId="76" xfId="25" applyFont="1" applyFill="1" applyBorder="1" applyAlignment="1">
      <alignment horizontal="center" vertical="center"/>
    </xf>
    <xf numFmtId="0" fontId="5" fillId="0" borderId="83" xfId="25" applyFont="1" applyFill="1" applyBorder="1" applyAlignment="1">
      <alignment horizontal="center" vertical="center"/>
    </xf>
    <xf numFmtId="0" fontId="5" fillId="0" borderId="80" xfId="24" applyFont="1" applyFill="1" applyBorder="1" applyAlignment="1">
      <alignment horizontal="center" vertical="center" wrapText="1"/>
    </xf>
    <xf numFmtId="0" fontId="5" fillId="0" borderId="84" xfId="24" applyFont="1" applyFill="1" applyBorder="1" applyAlignment="1">
      <alignment horizontal="center" vertical="center"/>
    </xf>
    <xf numFmtId="0" fontId="21" fillId="0" borderId="81" xfId="25" applyFont="1" applyFill="1" applyBorder="1" applyAlignment="1">
      <alignment horizontal="center" vertical="center"/>
    </xf>
    <xf numFmtId="0" fontId="21" fillId="0" borderId="82" xfId="25" applyFont="1" applyFill="1" applyBorder="1" applyAlignment="1">
      <alignment horizontal="center" vertical="center"/>
    </xf>
    <xf numFmtId="0" fontId="0" fillId="0" borderId="18" xfId="21" applyFont="1" applyFill="1" applyBorder="1" applyAlignment="1">
      <alignment horizontal="center" vertical="center"/>
    </xf>
    <xf numFmtId="0" fontId="5" fillId="0" borderId="36" xfId="21" applyFont="1" applyBorder="1" applyAlignment="1">
      <alignment horizontal="left" vertical="center"/>
    </xf>
    <xf numFmtId="49" fontId="36" fillId="0" borderId="2" xfId="21" applyNumberFormat="1" applyFont="1" applyBorder="1" applyAlignment="1">
      <alignment horizontal="center" vertical="top" wrapText="1"/>
    </xf>
    <xf numFmtId="49" fontId="36" fillId="0" borderId="3" xfId="21" applyNumberFormat="1" applyFont="1" applyBorder="1" applyAlignment="1">
      <alignment horizontal="center" vertical="top" wrapText="1"/>
    </xf>
    <xf numFmtId="49" fontId="36" fillId="0" borderId="0" xfId="21" applyNumberFormat="1" applyFont="1" applyBorder="1" applyAlignment="1">
      <alignment horizontal="center" vertical="top" wrapText="1"/>
    </xf>
    <xf numFmtId="49" fontId="36" fillId="0" borderId="5" xfId="21" applyNumberFormat="1" applyFont="1" applyBorder="1" applyAlignment="1">
      <alignment horizontal="center" vertical="top" wrapText="1"/>
    </xf>
    <xf numFmtId="0" fontId="7" fillId="0" borderId="67" xfId="21" applyFont="1" applyBorder="1" applyAlignment="1">
      <alignment horizontal="center" vertical="center" wrapText="1"/>
    </xf>
    <xf numFmtId="0" fontId="7" fillId="0" borderId="0" xfId="21" applyFont="1" applyBorder="1" applyAlignment="1">
      <alignment horizontal="center" vertical="center" wrapText="1"/>
    </xf>
    <xf numFmtId="0" fontId="7" fillId="0" borderId="68" xfId="21" applyFont="1" applyBorder="1" applyAlignment="1">
      <alignment horizontal="center" vertical="center" wrapText="1"/>
    </xf>
    <xf numFmtId="0" fontId="51" fillId="7" borderId="36" xfId="2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4" fontId="3" fillId="0" borderId="32" xfId="5" applyNumberFormat="1" applyFont="1" applyBorder="1" applyAlignment="1">
      <alignment horizontal="center" vertical="center"/>
    </xf>
    <xf numFmtId="4" fontId="3" fillId="0" borderId="34" xfId="5" applyNumberFormat="1" applyFont="1" applyBorder="1" applyAlignment="1">
      <alignment horizontal="center" vertical="center"/>
    </xf>
    <xf numFmtId="0" fontId="29" fillId="0" borderId="4" xfId="5" applyFont="1" applyBorder="1" applyAlignment="1">
      <alignment horizontal="center" vertical="center" wrapText="1"/>
    </xf>
    <xf numFmtId="0" fontId="29" fillId="0" borderId="0" xfId="5" applyFont="1" applyBorder="1" applyAlignment="1">
      <alignment horizontal="center" vertical="center" wrapText="1"/>
    </xf>
    <xf numFmtId="0" fontId="29" fillId="0" borderId="5" xfId="5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5" fillId="0" borderId="0" xfId="5" applyFont="1" applyBorder="1" applyAlignment="1">
      <alignment horizontal="center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2" fillId="0" borderId="6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7" fillId="0" borderId="69" xfId="0" applyFont="1" applyBorder="1" applyAlignment="1">
      <alignment horizontal="right" vertical="center"/>
    </xf>
    <xf numFmtId="0" fontId="17" fillId="0" borderId="70" xfId="0" applyFont="1" applyBorder="1" applyAlignment="1">
      <alignment horizontal="right" vertical="center"/>
    </xf>
    <xf numFmtId="0" fontId="17" fillId="0" borderId="71" xfId="0" applyFont="1" applyBorder="1" applyAlignment="1">
      <alignment horizontal="right" vertical="center"/>
    </xf>
    <xf numFmtId="0" fontId="17" fillId="0" borderId="18" xfId="0" applyFont="1" applyBorder="1" applyAlignment="1">
      <alignment horizontal="right" vertical="center"/>
    </xf>
    <xf numFmtId="0" fontId="17" fillId="0" borderId="72" xfId="0" applyFont="1" applyBorder="1" applyAlignment="1">
      <alignment horizontal="center" vertical="center" wrapText="1"/>
    </xf>
    <xf numFmtId="0" fontId="17" fillId="0" borderId="73" xfId="0" applyFont="1" applyBorder="1" applyAlignment="1">
      <alignment horizontal="center" vertical="center" wrapText="1"/>
    </xf>
    <xf numFmtId="0" fontId="17" fillId="0" borderId="74" xfId="0" applyFont="1" applyBorder="1" applyAlignment="1">
      <alignment horizontal="center" vertical="center" wrapText="1"/>
    </xf>
    <xf numFmtId="0" fontId="27" fillId="0" borderId="7" xfId="5" applyFont="1" applyBorder="1" applyAlignment="1">
      <alignment horizontal="right" vertical="center"/>
    </xf>
    <xf numFmtId="0" fontId="27" fillId="0" borderId="8" xfId="5" applyFont="1" applyBorder="1" applyAlignment="1">
      <alignment horizontal="right" vertical="center"/>
    </xf>
    <xf numFmtId="0" fontId="27" fillId="0" borderId="17" xfId="5" applyFont="1" applyBorder="1" applyAlignment="1">
      <alignment horizontal="right" vertical="center"/>
    </xf>
    <xf numFmtId="10" fontId="27" fillId="0" borderId="7" xfId="5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49" fontId="17" fillId="4" borderId="32" xfId="14" applyNumberFormat="1" applyFont="1" applyFill="1" applyBorder="1" applyAlignment="1">
      <alignment horizontal="center" vertical="center"/>
    </xf>
    <xf numFmtId="49" fontId="17" fillId="4" borderId="33" xfId="14" applyNumberFormat="1" applyFont="1" applyFill="1" applyBorder="1" applyAlignment="1">
      <alignment horizontal="center" vertical="center"/>
    </xf>
    <xf numFmtId="49" fontId="17" fillId="4" borderId="34" xfId="14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7" fillId="4" borderId="32" xfId="14" applyNumberFormat="1" applyFont="1" applyFill="1" applyBorder="1" applyAlignment="1">
      <alignment horizontal="center" vertical="center"/>
    </xf>
    <xf numFmtId="0" fontId="10" fillId="5" borderId="42" xfId="14" applyFont="1" applyFill="1" applyBorder="1" applyAlignment="1">
      <alignment horizontal="center" vertical="center"/>
    </xf>
    <xf numFmtId="0" fontId="10" fillId="5" borderId="43" xfId="14" applyFont="1" applyFill="1" applyBorder="1" applyAlignment="1">
      <alignment horizontal="center" vertical="center"/>
    </xf>
    <xf numFmtId="0" fontId="20" fillId="5" borderId="42" xfId="14" applyFont="1" applyFill="1" applyBorder="1" applyAlignment="1">
      <alignment horizontal="center" vertical="center"/>
    </xf>
    <xf numFmtId="0" fontId="20" fillId="5" borderId="43" xfId="14" applyFont="1" applyFill="1" applyBorder="1" applyAlignment="1">
      <alignment horizontal="center" vertical="center"/>
    </xf>
    <xf numFmtId="0" fontId="0" fillId="0" borderId="32" xfId="14" applyFont="1" applyBorder="1" applyAlignment="1">
      <alignment vertical="center"/>
    </xf>
    <xf numFmtId="0" fontId="0" fillId="0" borderId="33" xfId="14" applyFont="1" applyBorder="1" applyAlignment="1">
      <alignment vertical="center"/>
    </xf>
    <xf numFmtId="0" fontId="5" fillId="0" borderId="37" xfId="14" applyFont="1" applyFill="1" applyBorder="1" applyAlignment="1">
      <alignment horizontal="justify" vertical="center" wrapText="1"/>
    </xf>
    <xf numFmtId="0" fontId="5" fillId="0" borderId="57" xfId="14" applyFont="1" applyFill="1" applyBorder="1" applyAlignment="1">
      <alignment horizontal="justify" vertical="center" wrapText="1"/>
    </xf>
    <xf numFmtId="0" fontId="9" fillId="0" borderId="37" xfId="14" applyFont="1" applyBorder="1" applyAlignment="1">
      <alignment horizontal="center"/>
    </xf>
    <xf numFmtId="0" fontId="9" fillId="0" borderId="44" xfId="14" applyFont="1" applyBorder="1" applyAlignment="1">
      <alignment horizontal="center"/>
    </xf>
    <xf numFmtId="0" fontId="19" fillId="0" borderId="37" xfId="14" applyFont="1" applyBorder="1" applyAlignment="1">
      <alignment horizontal="center"/>
    </xf>
    <xf numFmtId="0" fontId="19" fillId="0" borderId="44" xfId="14" applyFont="1" applyBorder="1" applyAlignment="1">
      <alignment horizontal="center"/>
    </xf>
    <xf numFmtId="10" fontId="11" fillId="0" borderId="7" xfId="18" applyNumberFormat="1" applyFont="1" applyBorder="1" applyAlignment="1">
      <alignment horizontal="center" vertical="center"/>
    </xf>
    <xf numFmtId="10" fontId="11" fillId="0" borderId="17" xfId="18" applyNumberFormat="1" applyFont="1" applyBorder="1" applyAlignment="1">
      <alignment horizontal="center" vertical="center"/>
    </xf>
    <xf numFmtId="10" fontId="0" fillId="0" borderId="7" xfId="18" applyNumberFormat="1" applyFont="1" applyBorder="1" applyAlignment="1">
      <alignment horizontal="center" vertical="center"/>
    </xf>
    <xf numFmtId="10" fontId="0" fillId="0" borderId="17" xfId="18" applyNumberFormat="1" applyFont="1" applyBorder="1" applyAlignment="1">
      <alignment horizontal="center" vertical="center"/>
    </xf>
    <xf numFmtId="0" fontId="5" fillId="0" borderId="58" xfId="14" applyFont="1" applyFill="1" applyBorder="1" applyAlignment="1">
      <alignment horizontal="right" vertical="center"/>
    </xf>
    <xf numFmtId="0" fontId="5" fillId="0" borderId="43" xfId="14" applyFont="1" applyFill="1" applyBorder="1" applyAlignment="1">
      <alignment horizontal="right" vertical="center"/>
    </xf>
    <xf numFmtId="10" fontId="11" fillId="0" borderId="42" xfId="18" applyNumberFormat="1" applyFont="1" applyBorder="1" applyAlignment="1">
      <alignment horizontal="center" vertical="center"/>
    </xf>
    <xf numFmtId="10" fontId="11" fillId="0" borderId="43" xfId="18" applyNumberFormat="1" applyFont="1" applyBorder="1" applyAlignment="1">
      <alignment horizontal="center" vertical="center"/>
    </xf>
    <xf numFmtId="10" fontId="0" fillId="0" borderId="42" xfId="18" applyNumberFormat="1" applyFont="1" applyBorder="1" applyAlignment="1">
      <alignment horizontal="center" vertical="center"/>
    </xf>
    <xf numFmtId="10" fontId="0" fillId="0" borderId="43" xfId="18" applyNumberFormat="1" applyFont="1" applyBorder="1" applyAlignment="1">
      <alignment horizontal="center" vertical="center"/>
    </xf>
    <xf numFmtId="0" fontId="0" fillId="0" borderId="32" xfId="14" applyFont="1" applyBorder="1" applyAlignment="1">
      <alignment horizontal="center" vertical="center"/>
    </xf>
    <xf numFmtId="0" fontId="0" fillId="0" borderId="33" xfId="14" applyFont="1" applyBorder="1" applyAlignment="1">
      <alignment horizontal="center" vertical="center"/>
    </xf>
    <xf numFmtId="10" fontId="11" fillId="0" borderId="37" xfId="18" applyNumberFormat="1" applyFont="1" applyBorder="1" applyAlignment="1">
      <alignment horizontal="center" vertical="center"/>
    </xf>
    <xf numFmtId="10" fontId="11" fillId="0" borderId="44" xfId="18" applyNumberFormat="1" applyFont="1" applyBorder="1" applyAlignment="1">
      <alignment horizontal="center" vertical="center"/>
    </xf>
    <xf numFmtId="10" fontId="0" fillId="0" borderId="37" xfId="18" applyNumberFormat="1" applyFont="1" applyBorder="1" applyAlignment="1">
      <alignment horizontal="center" vertical="center"/>
    </xf>
    <xf numFmtId="10" fontId="0" fillId="0" borderId="44" xfId="18" applyNumberFormat="1" applyFont="1" applyBorder="1" applyAlignment="1">
      <alignment horizontal="center" vertical="center"/>
    </xf>
    <xf numFmtId="49" fontId="10" fillId="4" borderId="1" xfId="14" applyNumberFormat="1" applyFont="1" applyFill="1" applyBorder="1" applyAlignment="1">
      <alignment horizontal="center" vertical="center" wrapText="1"/>
    </xf>
    <xf numFmtId="49" fontId="10" fillId="4" borderId="2" xfId="14" applyNumberFormat="1" applyFont="1" applyFill="1" applyBorder="1" applyAlignment="1">
      <alignment horizontal="center" vertical="center" wrapText="1"/>
    </xf>
    <xf numFmtId="49" fontId="10" fillId="4" borderId="3" xfId="14" applyNumberFormat="1" applyFont="1" applyFill="1" applyBorder="1" applyAlignment="1">
      <alignment horizontal="center" vertical="center" wrapText="1"/>
    </xf>
    <xf numFmtId="10" fontId="11" fillId="0" borderId="60" xfId="18" applyNumberFormat="1" applyFont="1" applyBorder="1" applyAlignment="1">
      <alignment horizontal="center" vertical="center"/>
    </xf>
    <xf numFmtId="10" fontId="11" fillId="0" borderId="61" xfId="18" applyNumberFormat="1" applyFont="1" applyBorder="1" applyAlignment="1">
      <alignment horizontal="center" vertical="center"/>
    </xf>
    <xf numFmtId="10" fontId="24" fillId="4" borderId="46" xfId="14" applyNumberFormat="1" applyFont="1" applyFill="1" applyBorder="1" applyAlignment="1">
      <alignment horizontal="center" vertical="center"/>
    </xf>
    <xf numFmtId="10" fontId="24" fillId="4" borderId="55" xfId="14" applyNumberFormat="1" applyFont="1" applyFill="1" applyBorder="1" applyAlignment="1">
      <alignment horizontal="center" vertical="center"/>
    </xf>
    <xf numFmtId="10" fontId="21" fillId="0" borderId="45" xfId="18" applyNumberFormat="1" applyFont="1" applyBorder="1" applyAlignment="1">
      <alignment horizontal="center" vertical="center" wrapText="1"/>
    </xf>
    <xf numFmtId="10" fontId="21" fillId="0" borderId="54" xfId="18" applyNumberFormat="1" applyFont="1" applyBorder="1" applyAlignment="1">
      <alignment horizontal="center" vertical="center" wrapText="1"/>
    </xf>
    <xf numFmtId="0" fontId="22" fillId="0" borderId="47" xfId="14" applyFont="1" applyBorder="1" applyAlignment="1">
      <alignment horizontal="center" vertical="center" wrapText="1"/>
    </xf>
    <xf numFmtId="0" fontId="22" fillId="0" borderId="56" xfId="14" applyFont="1" applyBorder="1" applyAlignment="1">
      <alignment horizontal="center" vertical="center" wrapText="1"/>
    </xf>
    <xf numFmtId="49" fontId="20" fillId="4" borderId="1" xfId="14" applyNumberFormat="1" applyFont="1" applyFill="1" applyBorder="1" applyAlignment="1">
      <alignment horizontal="center" vertical="center" wrapText="1"/>
    </xf>
    <xf numFmtId="49" fontId="20" fillId="4" borderId="2" xfId="14" applyNumberFormat="1" applyFont="1" applyFill="1" applyBorder="1" applyAlignment="1">
      <alignment horizontal="center" vertical="center" wrapText="1"/>
    </xf>
    <xf numFmtId="49" fontId="20" fillId="4" borderId="3" xfId="14" applyNumberFormat="1" applyFont="1" applyFill="1" applyBorder="1" applyAlignment="1">
      <alignment horizontal="center" vertical="center" wrapText="1"/>
    </xf>
    <xf numFmtId="49" fontId="20" fillId="4" borderId="13" xfId="14" applyNumberFormat="1" applyFont="1" applyFill="1" applyBorder="1" applyAlignment="1">
      <alignment horizontal="center" vertical="center" wrapText="1"/>
    </xf>
    <xf numFmtId="49" fontId="20" fillId="4" borderId="14" xfId="14" applyNumberFormat="1" applyFont="1" applyFill="1" applyBorder="1" applyAlignment="1">
      <alignment horizontal="center" vertical="center" wrapText="1"/>
    </xf>
    <xf numFmtId="49" fontId="20" fillId="4" borderId="15" xfId="14" applyNumberFormat="1" applyFont="1" applyFill="1" applyBorder="1" applyAlignment="1">
      <alignment horizontal="center" vertical="center" wrapText="1"/>
    </xf>
    <xf numFmtId="49" fontId="10" fillId="4" borderId="35" xfId="14" applyNumberFormat="1" applyFont="1" applyFill="1" applyBorder="1" applyAlignment="1">
      <alignment horizontal="center" vertical="center" wrapText="1"/>
    </xf>
    <xf numFmtId="49" fontId="10" fillId="4" borderId="36" xfId="14" applyNumberFormat="1" applyFont="1" applyFill="1" applyBorder="1" applyAlignment="1">
      <alignment horizontal="center" vertical="center" wrapText="1"/>
    </xf>
    <xf numFmtId="49" fontId="10" fillId="4" borderId="37" xfId="14" applyNumberFormat="1" applyFont="1" applyFill="1" applyBorder="1" applyAlignment="1">
      <alignment horizontal="center" vertical="center" wrapText="1"/>
    </xf>
    <xf numFmtId="49" fontId="10" fillId="4" borderId="38" xfId="14" applyNumberFormat="1" applyFont="1" applyFill="1" applyBorder="1" applyAlignment="1">
      <alignment horizontal="center" vertical="center" wrapText="1"/>
    </xf>
    <xf numFmtId="49" fontId="10" fillId="4" borderId="6" xfId="14" applyNumberFormat="1" applyFont="1" applyFill="1" applyBorder="1" applyAlignment="1">
      <alignment horizontal="center" vertical="center" wrapText="1"/>
    </xf>
    <xf numFmtId="49" fontId="10" fillId="4" borderId="18" xfId="14" applyNumberFormat="1" applyFont="1" applyFill="1" applyBorder="1" applyAlignment="1">
      <alignment horizontal="center" vertical="center" wrapText="1"/>
    </xf>
    <xf numFmtId="49" fontId="10" fillId="4" borderId="7" xfId="14" applyNumberFormat="1" applyFont="1" applyFill="1" applyBorder="1" applyAlignment="1">
      <alignment horizontal="center" vertical="center" wrapText="1"/>
    </xf>
    <xf numFmtId="49" fontId="10" fillId="4" borderId="19" xfId="14" applyNumberFormat="1" applyFont="1" applyFill="1" applyBorder="1" applyAlignment="1">
      <alignment horizontal="center" vertical="center" wrapText="1"/>
    </xf>
    <xf numFmtId="0" fontId="22" fillId="0" borderId="46" xfId="14" applyFont="1" applyBorder="1" applyAlignment="1">
      <alignment horizontal="center" vertical="center" wrapText="1"/>
    </xf>
    <xf numFmtId="0" fontId="22" fillId="0" borderId="55" xfId="14" applyFont="1" applyBorder="1" applyAlignment="1">
      <alignment horizontal="center" vertical="center" wrapText="1"/>
    </xf>
    <xf numFmtId="0" fontId="5" fillId="0" borderId="1" xfId="14" applyFont="1" applyFill="1" applyBorder="1" applyAlignment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3" xfId="14" applyFont="1" applyFill="1" applyBorder="1" applyAlignment="1">
      <alignment horizontal="center" vertical="center"/>
    </xf>
    <xf numFmtId="0" fontId="5" fillId="0" borderId="48" xfId="14" applyFont="1" applyFill="1" applyBorder="1" applyAlignment="1">
      <alignment horizontal="center" vertical="center"/>
    </xf>
    <xf numFmtId="0" fontId="5" fillId="0" borderId="49" xfId="14" applyFont="1" applyFill="1" applyBorder="1" applyAlignment="1">
      <alignment horizontal="center" vertical="center"/>
    </xf>
    <xf numFmtId="0" fontId="5" fillId="0" borderId="50" xfId="14" applyFont="1" applyFill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0" fontId="3" fillId="0" borderId="62" xfId="14" applyFont="1" applyBorder="1" applyAlignment="1">
      <alignment horizontal="center" vertical="center"/>
    </xf>
    <xf numFmtId="0" fontId="3" fillId="0" borderId="48" xfId="14" applyFont="1" applyBorder="1" applyAlignment="1">
      <alignment horizontal="center" vertical="center"/>
    </xf>
    <xf numFmtId="0" fontId="3" fillId="0" borderId="63" xfId="14" applyFont="1" applyBorder="1" applyAlignment="1">
      <alignment horizontal="center" vertical="center"/>
    </xf>
    <xf numFmtId="0" fontId="0" fillId="0" borderId="1" xfId="14" applyFont="1" applyFill="1" applyBorder="1" applyAlignment="1">
      <alignment horizontal="center" vertical="center"/>
    </xf>
    <xf numFmtId="0" fontId="0" fillId="0" borderId="2" xfId="14" applyFont="1" applyFill="1" applyBorder="1" applyAlignment="1">
      <alignment horizontal="center" vertical="center"/>
    </xf>
    <xf numFmtId="0" fontId="20" fillId="0" borderId="51" xfId="14" applyFont="1" applyFill="1" applyBorder="1" applyAlignment="1">
      <alignment horizontal="center" vertical="center"/>
    </xf>
    <xf numFmtId="0" fontId="20" fillId="0" borderId="54" xfId="14" applyFont="1" applyFill="1" applyBorder="1" applyAlignment="1">
      <alignment horizontal="center" vertical="center"/>
    </xf>
    <xf numFmtId="0" fontId="0" fillId="0" borderId="45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20" fillId="0" borderId="52" xfId="14" applyFont="1" applyFill="1" applyBorder="1" applyAlignment="1">
      <alignment horizontal="center" vertical="center"/>
    </xf>
    <xf numFmtId="0" fontId="20" fillId="0" borderId="55" xfId="14" applyFont="1" applyFill="1" applyBorder="1" applyAlignment="1">
      <alignment horizontal="center" vertical="center"/>
    </xf>
    <xf numFmtId="0" fontId="0" fillId="0" borderId="46" xfId="14" applyFont="1" applyFill="1" applyBorder="1" applyAlignment="1">
      <alignment horizontal="left" vertical="center"/>
    </xf>
    <xf numFmtId="0" fontId="0" fillId="0" borderId="40" xfId="14" applyFont="1" applyFill="1" applyBorder="1" applyAlignment="1">
      <alignment horizontal="left" vertical="center"/>
    </xf>
    <xf numFmtId="0" fontId="20" fillId="0" borderId="53" xfId="14" applyFont="1" applyFill="1" applyBorder="1" applyAlignment="1">
      <alignment horizontal="center" vertical="center"/>
    </xf>
    <xf numFmtId="0" fontId="20" fillId="0" borderId="56" xfId="14" applyFont="1" applyFill="1" applyBorder="1" applyAlignment="1">
      <alignment horizontal="center" vertical="center"/>
    </xf>
    <xf numFmtId="10" fontId="0" fillId="7" borderId="47" xfId="18" applyNumberFormat="1" applyFont="1" applyFill="1" applyBorder="1" applyAlignment="1" applyProtection="1">
      <alignment horizontal="center" vertical="center"/>
      <protection locked="0"/>
    </xf>
    <xf numFmtId="10" fontId="0" fillId="7" borderId="41" xfId="18" applyNumberFormat="1" applyFont="1" applyFill="1" applyBorder="1" applyAlignment="1" applyProtection="1">
      <alignment horizontal="center" vertical="center"/>
      <protection locked="0"/>
    </xf>
    <xf numFmtId="0" fontId="4" fillId="0" borderId="1" xfId="13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  <xf numFmtId="0" fontId="4" fillId="0" borderId="3" xfId="13" applyFont="1" applyBorder="1" applyAlignment="1">
      <alignment horizontal="center" vertical="center"/>
    </xf>
    <xf numFmtId="0" fontId="4" fillId="0" borderId="4" xfId="13" applyFont="1" applyBorder="1" applyAlignment="1">
      <alignment horizontal="center" vertical="center"/>
    </xf>
    <xf numFmtId="0" fontId="4" fillId="0" borderId="0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0" fontId="6" fillId="0" borderId="0" xfId="13" applyFont="1" applyBorder="1" applyAlignment="1">
      <alignment horizontal="left" vertical="center" wrapText="1"/>
    </xf>
    <xf numFmtId="0" fontId="6" fillId="0" borderId="5" xfId="13" applyFont="1" applyBorder="1" applyAlignment="1">
      <alignment horizontal="left" vertical="center" wrapText="1"/>
    </xf>
    <xf numFmtId="49" fontId="7" fillId="4" borderId="32" xfId="1" applyNumberFormat="1" applyFont="1" applyFill="1" applyBorder="1" applyAlignment="1">
      <alignment horizontal="center" vertical="center"/>
    </xf>
    <xf numFmtId="49" fontId="7" fillId="4" borderId="33" xfId="1" applyNumberFormat="1" applyFont="1" applyFill="1" applyBorder="1" applyAlignment="1">
      <alignment horizontal="center" vertical="center"/>
    </xf>
    <xf numFmtId="49" fontId="7" fillId="4" borderId="34" xfId="1" applyNumberFormat="1" applyFont="1" applyFill="1" applyBorder="1" applyAlignment="1">
      <alignment horizontal="center" vertical="center"/>
    </xf>
    <xf numFmtId="0" fontId="10" fillId="5" borderId="42" xfId="1" applyFont="1" applyFill="1" applyBorder="1" applyAlignment="1">
      <alignment horizontal="center" vertical="center"/>
    </xf>
    <xf numFmtId="0" fontId="10" fillId="5" borderId="43" xfId="1" applyFont="1" applyFill="1" applyBorder="1" applyAlignment="1">
      <alignment horizontal="center" vertical="center"/>
    </xf>
    <xf numFmtId="0" fontId="11" fillId="0" borderId="4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2" fillId="0" borderId="36" xfId="1" applyFont="1" applyFill="1" applyBorder="1" applyAlignment="1">
      <alignment horizontal="justify" vertical="center" wrapText="1"/>
    </xf>
    <xf numFmtId="0" fontId="12" fillId="0" borderId="38" xfId="1" applyFont="1" applyFill="1" applyBorder="1" applyAlignment="1">
      <alignment horizontal="justify" vertical="center" wrapText="1"/>
    </xf>
    <xf numFmtId="0" fontId="9" fillId="0" borderId="37" xfId="1" applyFont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12" fillId="0" borderId="29" xfId="1" applyFont="1" applyFill="1" applyBorder="1" applyAlignment="1">
      <alignment horizontal="right" vertical="center"/>
    </xf>
    <xf numFmtId="0" fontId="12" fillId="0" borderId="30" xfId="1" applyFont="1" applyFill="1" applyBorder="1" applyAlignment="1">
      <alignment horizontal="right" vertical="center"/>
    </xf>
    <xf numFmtId="10" fontId="11" fillId="0" borderId="42" xfId="7" applyNumberFormat="1" applyFont="1" applyBorder="1" applyAlignment="1">
      <alignment horizontal="center" vertical="center"/>
    </xf>
    <xf numFmtId="10" fontId="11" fillId="0" borderId="43" xfId="7" applyNumberFormat="1" applyFont="1" applyBorder="1" applyAlignment="1">
      <alignment horizontal="center" vertical="center"/>
    </xf>
    <xf numFmtId="10" fontId="11" fillId="0" borderId="7" xfId="7" applyNumberFormat="1" applyFont="1" applyBorder="1" applyAlignment="1">
      <alignment horizontal="center" vertical="center"/>
    </xf>
    <xf numFmtId="10" fontId="11" fillId="0" borderId="17" xfId="7" applyNumberFormat="1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8" xfId="1" applyFont="1" applyFill="1" applyBorder="1" applyAlignment="1">
      <alignment horizontal="center" vertical="center"/>
    </xf>
    <xf numFmtId="0" fontId="12" fillId="0" borderId="49" xfId="1" applyFont="1" applyFill="1" applyBorder="1" applyAlignment="1">
      <alignment horizontal="center" vertical="center"/>
    </xf>
    <xf numFmtId="0" fontId="12" fillId="0" borderId="50" xfId="1" applyFont="1" applyFill="1" applyBorder="1" applyAlignment="1">
      <alignment horizontal="center" vertical="center"/>
    </xf>
    <xf numFmtId="49" fontId="10" fillId="4" borderId="35" xfId="1" applyNumberFormat="1" applyFont="1" applyFill="1" applyBorder="1" applyAlignment="1">
      <alignment horizontal="center" vertical="center" wrapText="1"/>
    </xf>
    <xf numFmtId="49" fontId="10" fillId="4" borderId="36" xfId="1" applyNumberFormat="1" applyFont="1" applyFill="1" applyBorder="1" applyAlignment="1">
      <alignment horizontal="center" vertical="center" wrapText="1"/>
    </xf>
    <xf numFmtId="49" fontId="10" fillId="4" borderId="37" xfId="1" applyNumberFormat="1" applyFont="1" applyFill="1" applyBorder="1" applyAlignment="1">
      <alignment horizontal="center" vertical="center" wrapText="1"/>
    </xf>
    <xf numFmtId="49" fontId="10" fillId="4" borderId="38" xfId="1" applyNumberFormat="1" applyFont="1" applyFill="1" applyBorder="1" applyAlignment="1">
      <alignment horizontal="center" vertical="center" wrapText="1"/>
    </xf>
    <xf numFmtId="49" fontId="10" fillId="4" borderId="6" xfId="1" applyNumberFormat="1" applyFont="1" applyFill="1" applyBorder="1" applyAlignment="1">
      <alignment horizontal="center" vertical="center" wrapText="1"/>
    </xf>
    <xf numFmtId="49" fontId="10" fillId="4" borderId="18" xfId="1" applyNumberFormat="1" applyFont="1" applyFill="1" applyBorder="1" applyAlignment="1">
      <alignment horizontal="center" vertical="center" wrapText="1"/>
    </xf>
    <xf numFmtId="49" fontId="10" fillId="4" borderId="7" xfId="1" applyNumberFormat="1" applyFont="1" applyFill="1" applyBorder="1" applyAlignment="1">
      <alignment horizontal="center" vertical="center" wrapText="1"/>
    </xf>
    <xf numFmtId="49" fontId="10" fillId="4" borderId="19" xfId="1" applyNumberFormat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39" xfId="1" applyFont="1" applyBorder="1" applyAlignment="1">
      <alignment horizontal="center" vertical="center"/>
    </xf>
    <xf numFmtId="0" fontId="10" fillId="0" borderId="40" xfId="1" applyFont="1" applyFill="1" applyBorder="1" applyAlignment="1">
      <alignment horizontal="center" vertical="center"/>
    </xf>
    <xf numFmtId="0" fontId="10" fillId="0" borderId="30" xfId="1" applyFont="1" applyFill="1" applyBorder="1" applyAlignment="1">
      <alignment horizontal="center" vertical="center"/>
    </xf>
    <xf numFmtId="0" fontId="11" fillId="0" borderId="46" xfId="1" applyFont="1" applyFill="1" applyBorder="1" applyAlignment="1">
      <alignment horizontal="left" vertical="center"/>
    </xf>
    <xf numFmtId="0" fontId="11" fillId="0" borderId="40" xfId="1" applyFont="1" applyFill="1" applyBorder="1" applyAlignment="1">
      <alignment horizontal="left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/>
    </xf>
    <xf numFmtId="10" fontId="13" fillId="6" borderId="47" xfId="7" applyNumberFormat="1" applyFont="1" applyFill="1" applyBorder="1" applyAlignment="1" applyProtection="1">
      <alignment horizontal="center" vertical="center"/>
      <protection locked="0"/>
    </xf>
    <xf numFmtId="10" fontId="13" fillId="6" borderId="41" xfId="7" applyNumberFormat="1" applyFont="1" applyFill="1" applyBorder="1" applyAlignment="1" applyProtection="1">
      <alignment horizontal="center" vertical="center"/>
      <protection locked="0"/>
    </xf>
    <xf numFmtId="10" fontId="11" fillId="0" borderId="37" xfId="7" applyNumberFormat="1" applyFont="1" applyBorder="1" applyAlignment="1">
      <alignment horizontal="center" vertical="center"/>
    </xf>
    <xf numFmtId="10" fontId="11" fillId="0" borderId="44" xfId="7" applyNumberFormat="1" applyFont="1" applyBorder="1" applyAlignment="1">
      <alignment horizontal="center" vertical="center"/>
    </xf>
    <xf numFmtId="0" fontId="1" fillId="0" borderId="16" xfId="11" applyFont="1" applyFill="1" applyBorder="1" applyAlignment="1">
      <alignment horizontal="center"/>
    </xf>
    <xf numFmtId="0" fontId="1" fillId="0" borderId="8" xfId="11" applyFont="1" applyFill="1" applyBorder="1" applyAlignment="1">
      <alignment horizontal="center"/>
    </xf>
    <xf numFmtId="0" fontId="1" fillId="0" borderId="9" xfId="11" applyFont="1" applyFill="1" applyBorder="1" applyAlignment="1">
      <alignment horizontal="center"/>
    </xf>
    <xf numFmtId="0" fontId="3" fillId="0" borderId="29" xfId="11" applyFont="1" applyFill="1" applyBorder="1" applyAlignment="1">
      <alignment horizontal="center" vertical="center"/>
    </xf>
    <xf numFmtId="0" fontId="3" fillId="0" borderId="30" xfId="11" applyFont="1" applyFill="1" applyBorder="1" applyAlignment="1">
      <alignment horizontal="center" vertical="center"/>
    </xf>
    <xf numFmtId="0" fontId="2" fillId="0" borderId="16" xfId="11" applyFont="1" applyFill="1" applyBorder="1" applyAlignment="1">
      <alignment horizontal="center" vertical="center"/>
    </xf>
    <xf numFmtId="0" fontId="3" fillId="0" borderId="8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horizontal="center" vertical="center"/>
    </xf>
    <xf numFmtId="0" fontId="3" fillId="0" borderId="7" xfId="11" applyFont="1" applyFill="1" applyBorder="1" applyAlignment="1">
      <alignment horizontal="center" vertical="center"/>
    </xf>
    <xf numFmtId="0" fontId="3" fillId="0" borderId="17" xfId="11" applyFont="1" applyFill="1" applyBorder="1" applyAlignment="1">
      <alignment horizontal="center" vertical="center"/>
    </xf>
    <xf numFmtId="0" fontId="3" fillId="0" borderId="16" xfId="11" applyFont="1" applyFill="1" applyBorder="1" applyAlignment="1">
      <alignment horizontal="center" vertical="center"/>
    </xf>
    <xf numFmtId="167" fontId="3" fillId="0" borderId="18" xfId="11" applyNumberFormat="1" applyFont="1" applyFill="1" applyBorder="1" applyAlignment="1">
      <alignment horizontal="center" vertical="center"/>
    </xf>
    <xf numFmtId="167" fontId="3" fillId="0" borderId="19" xfId="11" applyNumberFormat="1" applyFont="1" applyFill="1" applyBorder="1" applyAlignment="1">
      <alignment horizontal="center" vertical="center"/>
    </xf>
    <xf numFmtId="0" fontId="1" fillId="0" borderId="10" xfId="9" applyFont="1" applyFill="1" applyBorder="1" applyAlignment="1">
      <alignment horizontal="center" vertical="center" wrapText="1"/>
    </xf>
    <xf numFmtId="0" fontId="1" fillId="0" borderId="11" xfId="9" applyFont="1" applyFill="1" applyBorder="1" applyAlignment="1">
      <alignment horizontal="center" vertical="center" wrapText="1"/>
    </xf>
    <xf numFmtId="0" fontId="1" fillId="0" borderId="12" xfId="9" applyFont="1" applyFill="1" applyBorder="1" applyAlignment="1">
      <alignment horizontal="center" vertical="center" wrapText="1"/>
    </xf>
    <xf numFmtId="0" fontId="1" fillId="0" borderId="13" xfId="9" applyFont="1" applyFill="1" applyBorder="1" applyAlignment="1">
      <alignment horizontal="center" vertical="center" wrapText="1"/>
    </xf>
    <xf numFmtId="0" fontId="1" fillId="0" borderId="14" xfId="9" applyFont="1" applyFill="1" applyBorder="1" applyAlignment="1">
      <alignment horizontal="center" vertical="center" wrapText="1"/>
    </xf>
    <xf numFmtId="0" fontId="1" fillId="0" borderId="15" xfId="9" applyFont="1" applyFill="1" applyBorder="1" applyAlignment="1">
      <alignment horizontal="center" vertical="center" wrapText="1"/>
    </xf>
    <xf numFmtId="0" fontId="3" fillId="0" borderId="6" xfId="11" applyFont="1" applyFill="1" applyBorder="1" applyAlignment="1">
      <alignment horizontal="center" vertical="center"/>
    </xf>
    <xf numFmtId="0" fontId="3" fillId="0" borderId="18" xfId="11" applyFont="1" applyFill="1" applyBorder="1" applyAlignment="1">
      <alignment horizontal="center" vertical="center"/>
    </xf>
  </cellXfs>
  <cellStyles count="26">
    <cellStyle name="Moeda" xfId="4" builtinId="4"/>
    <cellStyle name="Moeda 2" xfId="6"/>
    <cellStyle name="Normal" xfId="0" builtinId="0"/>
    <cellStyle name="Normal 11" xfId="9"/>
    <cellStyle name="Normal 2" xfId="5"/>
    <cellStyle name="Normal 2 2" xfId="11"/>
    <cellStyle name="Normal 2 3" xfId="21"/>
    <cellStyle name="Normal 3" xfId="12"/>
    <cellStyle name="Normal 4" xfId="13"/>
    <cellStyle name="Normal 5" xfId="20"/>
    <cellStyle name="Normal 6" xfId="14"/>
    <cellStyle name="Normal 6 2" xfId="1"/>
    <cellStyle name="Normal 7" xfId="24"/>
    <cellStyle name="Normal_Pesquisa no referencial 10 de maio de 2013" xfId="15"/>
    <cellStyle name="Normal_volterra" xfId="25"/>
    <cellStyle name="Porcentagem" xfId="3" builtinId="5"/>
    <cellStyle name="Porcentagem 2" xfId="16"/>
    <cellStyle name="Separador de milhares 2" xfId="10"/>
    <cellStyle name="Separador de milhares 2 2" xfId="8"/>
    <cellStyle name="Título 2 2" xfId="23"/>
    <cellStyle name="Título 3" xfId="19" builtinId="18"/>
    <cellStyle name="Vírgula" xfId="2" builtinId="3"/>
    <cellStyle name="Vírgula 2" xfId="17"/>
    <cellStyle name="Vírgula 3" xfId="22"/>
    <cellStyle name="Vírgula 6" xfId="18"/>
    <cellStyle name="Vírgula 6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19685</xdr:colOff>
      <xdr:row>0</xdr:row>
      <xdr:rowOff>32384</xdr:rowOff>
    </xdr:from>
    <xdr:to>
      <xdr:col>3</xdr:col>
      <xdr:colOff>1360050</xdr:colOff>
      <xdr:row>3</xdr:row>
      <xdr:rowOff>28575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9685" y="31750"/>
          <a:ext cx="3521075" cy="53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47624</xdr:rowOff>
    </xdr:from>
    <xdr:to>
      <xdr:col>1</xdr:col>
      <xdr:colOff>2266950</xdr:colOff>
      <xdr:row>3</xdr:row>
      <xdr:rowOff>133050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6990"/>
          <a:ext cx="28194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103</xdr:row>
      <xdr:rowOff>95250</xdr:rowOff>
    </xdr:from>
    <xdr:to>
      <xdr:col>6</xdr:col>
      <xdr:colOff>323850</xdr:colOff>
      <xdr:row>103</xdr:row>
      <xdr:rowOff>95250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981325" y="43624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161925</xdr:colOff>
      <xdr:row>103</xdr:row>
      <xdr:rowOff>104775</xdr:rowOff>
    </xdr:from>
    <xdr:to>
      <xdr:col>5</xdr:col>
      <xdr:colOff>409575</xdr:colOff>
      <xdr:row>111</xdr:row>
      <xdr:rowOff>76200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V="1">
          <a:off x="1647825" y="4371975"/>
          <a:ext cx="1409700" cy="1266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323850</xdr:colOff>
      <xdr:row>103</xdr:row>
      <xdr:rowOff>95250</xdr:rowOff>
    </xdr:from>
    <xdr:to>
      <xdr:col>8</xdr:col>
      <xdr:colOff>314325</xdr:colOff>
      <xdr:row>111</xdr:row>
      <xdr:rowOff>47625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3552825" y="4362450"/>
          <a:ext cx="1152525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152400</xdr:colOff>
      <xdr:row>103</xdr:row>
      <xdr:rowOff>85725</xdr:rowOff>
    </xdr:from>
    <xdr:to>
      <xdr:col>8</xdr:col>
      <xdr:colOff>361950</xdr:colOff>
      <xdr:row>111</xdr:row>
      <xdr:rowOff>66675</xdr:rowOff>
    </xdr:to>
    <xdr:sp macro="" textlink="">
      <xdr:nvSpPr>
        <xdr:cNvPr id="5" name="Freeform 5" descr="70%"/>
        <xdr:cNvSpPr>
          <a:spLocks/>
        </xdr:cNvSpPr>
      </xdr:nvSpPr>
      <xdr:spPr bwMode="auto">
        <a:xfrm>
          <a:off x="1638300" y="4352925"/>
          <a:ext cx="3114675" cy="1276350"/>
        </a:xfrm>
        <a:custGeom>
          <a:avLst/>
          <a:gdLst>
            <a:gd name="T0" fmla="*/ 0 w 409"/>
            <a:gd name="T1" fmla="*/ 2147483646 h 135"/>
            <a:gd name="T2" fmla="*/ 2147483646 w 409"/>
            <a:gd name="T3" fmla="*/ 0 h 135"/>
            <a:gd name="T4" fmla="*/ 2147483646 w 409"/>
            <a:gd name="T5" fmla="*/ 0 h 135"/>
            <a:gd name="T6" fmla="*/ 2147483646 w 409"/>
            <a:gd name="T7" fmla="*/ 2147483646 h 135"/>
            <a:gd name="T8" fmla="*/ 0 w 409"/>
            <a:gd name="T9" fmla="*/ 2147483646 h 135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409"/>
            <a:gd name="T16" fmla="*/ 0 h 135"/>
            <a:gd name="T17" fmla="*/ 409 w 409"/>
            <a:gd name="T18" fmla="*/ 135 h 135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409" h="135">
              <a:moveTo>
                <a:pt x="0" y="135"/>
              </a:moveTo>
              <a:lnTo>
                <a:pt x="191" y="0"/>
              </a:lnTo>
              <a:lnTo>
                <a:pt x="256" y="0"/>
              </a:lnTo>
              <a:lnTo>
                <a:pt x="409" y="134"/>
              </a:lnTo>
              <a:lnTo>
                <a:pt x="0" y="135"/>
              </a:lnTo>
              <a:close/>
            </a:path>
          </a:pathLst>
        </a:cu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xtLst>
          <a:ext uri="{91240B29-F687-4F45-9708-019B960494DF}">
            <a14:hiddenLine xmlns:a14="http://schemas.microsoft.com/office/drawing/2010/main" w="57150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352425</xdr:colOff>
      <xdr:row>111</xdr:row>
      <xdr:rowOff>85725</xdr:rowOff>
    </xdr:from>
    <xdr:to>
      <xdr:col>10</xdr:col>
      <xdr:colOff>257175</xdr:colOff>
      <xdr:row>111</xdr:row>
      <xdr:rowOff>95250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 flipV="1">
          <a:off x="714375" y="5648325"/>
          <a:ext cx="5095875" cy="9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571500</xdr:colOff>
      <xdr:row>110</xdr:row>
      <xdr:rowOff>95250</xdr:rowOff>
    </xdr:from>
    <xdr:to>
      <xdr:col>8</xdr:col>
      <xdr:colOff>371475</xdr:colOff>
      <xdr:row>110</xdr:row>
      <xdr:rowOff>95250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476375" y="5495925"/>
          <a:ext cx="3286125" cy="0"/>
        </a:xfrm>
        <a:prstGeom prst="line">
          <a:avLst/>
        </a:prstGeom>
        <a:noFill/>
        <a:ln w="9525">
          <a:solidFill>
            <a:srgbClr val="000000"/>
          </a:solidFill>
          <a:prstDash val="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200025</xdr:colOff>
      <xdr:row>109</xdr:row>
      <xdr:rowOff>95250</xdr:rowOff>
    </xdr:from>
    <xdr:to>
      <xdr:col>8</xdr:col>
      <xdr:colOff>209550</xdr:colOff>
      <xdr:row>109</xdr:row>
      <xdr:rowOff>95250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685925" y="5334000"/>
          <a:ext cx="2914650" cy="0"/>
        </a:xfrm>
        <a:prstGeom prst="line">
          <a:avLst/>
        </a:prstGeom>
        <a:noFill/>
        <a:ln w="9525">
          <a:solidFill>
            <a:srgbClr val="000000"/>
          </a:solidFill>
          <a:prstDash val="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476250</xdr:colOff>
      <xdr:row>105</xdr:row>
      <xdr:rowOff>95250</xdr:rowOff>
    </xdr:from>
    <xdr:to>
      <xdr:col>7</xdr:col>
      <xdr:colOff>85725</xdr:colOff>
      <xdr:row>105</xdr:row>
      <xdr:rowOff>95250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2543175" y="4686300"/>
          <a:ext cx="1352550" cy="0"/>
        </a:xfrm>
        <a:prstGeom prst="line">
          <a:avLst/>
        </a:prstGeom>
        <a:noFill/>
        <a:ln w="9525">
          <a:solidFill>
            <a:srgbClr val="000000"/>
          </a:solidFill>
          <a:prstDash val="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104775</xdr:colOff>
      <xdr:row>104</xdr:row>
      <xdr:rowOff>95250</xdr:rowOff>
    </xdr:from>
    <xdr:to>
      <xdr:col>6</xdr:col>
      <xdr:colOff>495300</xdr:colOff>
      <xdr:row>104</xdr:row>
      <xdr:rowOff>95250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2752725" y="4524375"/>
          <a:ext cx="971550" cy="0"/>
        </a:xfrm>
        <a:prstGeom prst="line">
          <a:avLst/>
        </a:prstGeom>
        <a:noFill/>
        <a:ln w="9525">
          <a:solidFill>
            <a:srgbClr val="000000"/>
          </a:solidFill>
          <a:prstDash val="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504825</xdr:colOff>
      <xdr:row>109</xdr:row>
      <xdr:rowOff>95250</xdr:rowOff>
    </xdr:from>
    <xdr:to>
      <xdr:col>9</xdr:col>
      <xdr:colOff>66675</xdr:colOff>
      <xdr:row>109</xdr:row>
      <xdr:rowOff>95250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4895850" y="5334000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504825</xdr:colOff>
      <xdr:row>110</xdr:row>
      <xdr:rowOff>95250</xdr:rowOff>
    </xdr:from>
    <xdr:to>
      <xdr:col>9</xdr:col>
      <xdr:colOff>66675</xdr:colOff>
      <xdr:row>110</xdr:row>
      <xdr:rowOff>95250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4895850" y="5495925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561975</xdr:colOff>
      <xdr:row>109</xdr:row>
      <xdr:rowOff>95250</xdr:rowOff>
    </xdr:from>
    <xdr:to>
      <xdr:col>8</xdr:col>
      <xdr:colOff>561975</xdr:colOff>
      <xdr:row>111</xdr:row>
      <xdr:rowOff>95250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4953000" y="53340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485775</xdr:colOff>
      <xdr:row>104</xdr:row>
      <xdr:rowOff>95250</xdr:rowOff>
    </xdr:from>
    <xdr:to>
      <xdr:col>9</xdr:col>
      <xdr:colOff>47625</xdr:colOff>
      <xdr:row>104</xdr:row>
      <xdr:rowOff>95250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4876800" y="4524375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485775</xdr:colOff>
      <xdr:row>103</xdr:row>
      <xdr:rowOff>104775</xdr:rowOff>
    </xdr:from>
    <xdr:to>
      <xdr:col>9</xdr:col>
      <xdr:colOff>47625</xdr:colOff>
      <xdr:row>103</xdr:row>
      <xdr:rowOff>104775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4876800" y="4371975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552450</xdr:colOff>
      <xdr:row>103</xdr:row>
      <xdr:rowOff>114300</xdr:rowOff>
    </xdr:from>
    <xdr:to>
      <xdr:col>8</xdr:col>
      <xdr:colOff>552450</xdr:colOff>
      <xdr:row>105</xdr:row>
      <xdr:rowOff>95250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 flipV="1">
          <a:off x="4943475" y="43815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485775</xdr:colOff>
      <xdr:row>105</xdr:row>
      <xdr:rowOff>104775</xdr:rowOff>
    </xdr:from>
    <xdr:to>
      <xdr:col>9</xdr:col>
      <xdr:colOff>47625</xdr:colOff>
      <xdr:row>105</xdr:row>
      <xdr:rowOff>104775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4876800" y="4695825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561975</xdr:colOff>
      <xdr:row>103</xdr:row>
      <xdr:rowOff>104775</xdr:rowOff>
    </xdr:from>
    <xdr:to>
      <xdr:col>9</xdr:col>
      <xdr:colOff>285750</xdr:colOff>
      <xdr:row>104</xdr:row>
      <xdr:rowOff>95250</xdr:rowOff>
    </xdr:to>
    <xdr:sp macro="" textlink="">
      <xdr:nvSpPr>
        <xdr:cNvPr id="18" name="Text Box 18"/>
        <xdr:cNvSpPr txBox="1">
          <a:spLocks noChangeArrowheads="1"/>
        </xdr:cNvSpPr>
      </xdr:nvSpPr>
      <xdr:spPr bwMode="auto">
        <a:xfrm>
          <a:off x="4953000" y="4371975"/>
          <a:ext cx="304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0,5m</a:t>
          </a:r>
        </a:p>
      </xdr:txBody>
    </xdr:sp>
    <xdr:clientData/>
  </xdr:twoCellAnchor>
  <xdr:twoCellAnchor>
    <xdr:from>
      <xdr:col>8</xdr:col>
      <xdr:colOff>561975</xdr:colOff>
      <xdr:row>104</xdr:row>
      <xdr:rowOff>95250</xdr:rowOff>
    </xdr:from>
    <xdr:to>
      <xdr:col>9</xdr:col>
      <xdr:colOff>257175</xdr:colOff>
      <xdr:row>106</xdr:row>
      <xdr:rowOff>0</xdr:rowOff>
    </xdr:to>
    <xdr:sp macro="" textlink="">
      <xdr:nvSpPr>
        <xdr:cNvPr id="19" name="Text Box 19"/>
        <xdr:cNvSpPr txBox="1">
          <a:spLocks noChangeArrowheads="1"/>
        </xdr:cNvSpPr>
      </xdr:nvSpPr>
      <xdr:spPr bwMode="auto">
        <a:xfrm>
          <a:off x="4953000" y="4524375"/>
          <a:ext cx="2762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0,5m</a:t>
          </a:r>
        </a:p>
      </xdr:txBody>
    </xdr:sp>
    <xdr:clientData/>
  </xdr:twoCellAnchor>
  <xdr:twoCellAnchor>
    <xdr:from>
      <xdr:col>9</xdr:col>
      <xdr:colOff>9525</xdr:colOff>
      <xdr:row>109</xdr:row>
      <xdr:rowOff>104775</xdr:rowOff>
    </xdr:from>
    <xdr:to>
      <xdr:col>9</xdr:col>
      <xdr:colOff>333375</xdr:colOff>
      <xdr:row>110</xdr:row>
      <xdr:rowOff>114300</xdr:rowOff>
    </xdr:to>
    <xdr:sp macro="" textlink="">
      <xdr:nvSpPr>
        <xdr:cNvPr id="20" name="Text Box 20"/>
        <xdr:cNvSpPr txBox="1">
          <a:spLocks noChangeArrowheads="1"/>
        </xdr:cNvSpPr>
      </xdr:nvSpPr>
      <xdr:spPr bwMode="auto">
        <a:xfrm>
          <a:off x="4981575" y="5343525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0,5m</a:t>
          </a:r>
        </a:p>
      </xdr:txBody>
    </xdr:sp>
    <xdr:clientData/>
  </xdr:twoCellAnchor>
  <xdr:twoCellAnchor>
    <xdr:from>
      <xdr:col>9</xdr:col>
      <xdr:colOff>9525</xdr:colOff>
      <xdr:row>110</xdr:row>
      <xdr:rowOff>95250</xdr:rowOff>
    </xdr:from>
    <xdr:to>
      <xdr:col>9</xdr:col>
      <xdr:colOff>314325</xdr:colOff>
      <xdr:row>111</xdr:row>
      <xdr:rowOff>104775</xdr:rowOff>
    </xdr:to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4981575" y="5495925"/>
          <a:ext cx="304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0,5m</a:t>
          </a:r>
        </a:p>
      </xdr:txBody>
    </xdr:sp>
    <xdr:clientData/>
  </xdr:twoCellAnchor>
  <xdr:twoCellAnchor>
    <xdr:from>
      <xdr:col>8</xdr:col>
      <xdr:colOff>552450</xdr:colOff>
      <xdr:row>105</xdr:row>
      <xdr:rowOff>114300</xdr:rowOff>
    </xdr:from>
    <xdr:to>
      <xdr:col>8</xdr:col>
      <xdr:colOff>552450</xdr:colOff>
      <xdr:row>109</xdr:row>
      <xdr:rowOff>95250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4943475" y="4705350"/>
          <a:ext cx="0" cy="6286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495300</xdr:colOff>
      <xdr:row>107</xdr:row>
      <xdr:rowOff>28575</xdr:rowOff>
    </xdr:from>
    <xdr:to>
      <xdr:col>9</xdr:col>
      <xdr:colOff>28575</xdr:colOff>
      <xdr:row>107</xdr:row>
      <xdr:rowOff>123825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 flipV="1">
          <a:off x="4886325" y="4943475"/>
          <a:ext cx="11430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514350</xdr:colOff>
      <xdr:row>107</xdr:row>
      <xdr:rowOff>123825</xdr:rowOff>
    </xdr:from>
    <xdr:to>
      <xdr:col>9</xdr:col>
      <xdr:colOff>47625</xdr:colOff>
      <xdr:row>108</xdr:row>
      <xdr:rowOff>57150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 flipV="1">
          <a:off x="4905375" y="5038725"/>
          <a:ext cx="11430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533400</xdr:colOff>
      <xdr:row>110</xdr:row>
      <xdr:rowOff>95250</xdr:rowOff>
    </xdr:from>
    <xdr:to>
      <xdr:col>6</xdr:col>
      <xdr:colOff>152400</xdr:colOff>
      <xdr:row>111</xdr:row>
      <xdr:rowOff>114300</xdr:rowOff>
    </xdr:to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3181350" y="5495925"/>
          <a:ext cx="2000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5</xdr:col>
      <xdr:colOff>533400</xdr:colOff>
      <xdr:row>109</xdr:row>
      <xdr:rowOff>95250</xdr:rowOff>
    </xdr:from>
    <xdr:to>
      <xdr:col>6</xdr:col>
      <xdr:colOff>190500</xdr:colOff>
      <xdr:row>110</xdr:row>
      <xdr:rowOff>114300</xdr:rowOff>
    </xdr:to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3181350" y="5334000"/>
          <a:ext cx="2381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5</xdr:col>
      <xdr:colOff>533400</xdr:colOff>
      <xdr:row>104</xdr:row>
      <xdr:rowOff>104775</xdr:rowOff>
    </xdr:from>
    <xdr:to>
      <xdr:col>6</xdr:col>
      <xdr:colOff>190500</xdr:colOff>
      <xdr:row>105</xdr:row>
      <xdr:rowOff>133350</xdr:rowOff>
    </xdr:to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3181350" y="4533900"/>
          <a:ext cx="2381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n-1</a:t>
          </a:r>
        </a:p>
      </xdr:txBody>
    </xdr:sp>
    <xdr:clientData/>
  </xdr:twoCellAnchor>
  <xdr:twoCellAnchor>
    <xdr:from>
      <xdr:col>5</xdr:col>
      <xdr:colOff>533400</xdr:colOff>
      <xdr:row>103</xdr:row>
      <xdr:rowOff>104775</xdr:rowOff>
    </xdr:from>
    <xdr:to>
      <xdr:col>6</xdr:col>
      <xdr:colOff>190500</xdr:colOff>
      <xdr:row>104</xdr:row>
      <xdr:rowOff>123825</xdr:rowOff>
    </xdr:to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3181350" y="4371975"/>
          <a:ext cx="2381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n</a:t>
          </a:r>
        </a:p>
      </xdr:txBody>
    </xdr:sp>
    <xdr:clientData/>
  </xdr:twoCellAnchor>
  <xdr:twoCellAnchor>
    <xdr:from>
      <xdr:col>5</xdr:col>
      <xdr:colOff>542925</xdr:colOff>
      <xdr:row>105</xdr:row>
      <xdr:rowOff>19050</xdr:rowOff>
    </xdr:from>
    <xdr:to>
      <xdr:col>6</xdr:col>
      <xdr:colOff>152400</xdr:colOff>
      <xdr:row>109</xdr:row>
      <xdr:rowOff>47625</xdr:rowOff>
    </xdr:to>
    <xdr:sp macro="" textlink="">
      <xdr:nvSpPr>
        <xdr:cNvPr id="29" name="Text Box 29"/>
        <xdr:cNvSpPr txBox="1">
          <a:spLocks noChangeArrowheads="1"/>
        </xdr:cNvSpPr>
      </xdr:nvSpPr>
      <xdr:spPr bwMode="auto">
        <a:xfrm>
          <a:off x="3190875" y="4610100"/>
          <a:ext cx="1905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4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pt-BR" sz="14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pt-BR" sz="14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>
    <xdr:from>
      <xdr:col>5</xdr:col>
      <xdr:colOff>0</xdr:colOff>
      <xdr:row>100</xdr:row>
      <xdr:rowOff>85725</xdr:rowOff>
    </xdr:from>
    <xdr:to>
      <xdr:col>7</xdr:col>
      <xdr:colOff>85725</xdr:colOff>
      <xdr:row>101</xdr:row>
      <xdr:rowOff>142875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2647950" y="3867150"/>
          <a:ext cx="1247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Seção transversal</a:t>
          </a:r>
        </a:p>
      </xdr:txBody>
    </xdr:sp>
    <xdr:clientData/>
  </xdr:twoCellAnchor>
  <xdr:twoCellAnchor>
    <xdr:from>
      <xdr:col>5</xdr:col>
      <xdr:colOff>352425</xdr:colOff>
      <xdr:row>103</xdr:row>
      <xdr:rowOff>95250</xdr:rowOff>
    </xdr:from>
    <xdr:to>
      <xdr:col>5</xdr:col>
      <xdr:colOff>352425</xdr:colOff>
      <xdr:row>111</xdr:row>
      <xdr:rowOff>85725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3000375" y="4362450"/>
          <a:ext cx="0" cy="1285875"/>
        </a:xfrm>
        <a:prstGeom prst="line">
          <a:avLst/>
        </a:prstGeom>
        <a:noFill/>
        <a:ln w="9525">
          <a:solidFill>
            <a:srgbClr val="000000"/>
          </a:solidFill>
          <a:prstDash val="lg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107</xdr:row>
      <xdr:rowOff>19050</xdr:rowOff>
    </xdr:from>
    <xdr:to>
      <xdr:col>5</xdr:col>
      <xdr:colOff>428625</xdr:colOff>
      <xdr:row>108</xdr:row>
      <xdr:rowOff>85725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2876550" y="4933950"/>
          <a:ext cx="2000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H</a:t>
          </a:r>
        </a:p>
      </xdr:txBody>
    </xdr:sp>
    <xdr:clientData/>
  </xdr:twoCellAnchor>
  <xdr:twoCellAnchor>
    <xdr:from>
      <xdr:col>5</xdr:col>
      <xdr:colOff>333375</xdr:colOff>
      <xdr:row>102</xdr:row>
      <xdr:rowOff>95250</xdr:rowOff>
    </xdr:from>
    <xdr:to>
      <xdr:col>5</xdr:col>
      <xdr:colOff>333375</xdr:colOff>
      <xdr:row>103</xdr:row>
      <xdr:rowOff>28575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2981325" y="420052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323850</xdr:colOff>
      <xdr:row>102</xdr:row>
      <xdr:rowOff>95250</xdr:rowOff>
    </xdr:from>
    <xdr:to>
      <xdr:col>6</xdr:col>
      <xdr:colOff>323850</xdr:colOff>
      <xdr:row>103</xdr:row>
      <xdr:rowOff>28575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3552825" y="420052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342900</xdr:colOff>
      <xdr:row>102</xdr:row>
      <xdr:rowOff>142875</xdr:rowOff>
    </xdr:from>
    <xdr:to>
      <xdr:col>6</xdr:col>
      <xdr:colOff>323850</xdr:colOff>
      <xdr:row>102</xdr:row>
      <xdr:rowOff>142875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2990850" y="4248150"/>
          <a:ext cx="561975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514350</xdr:colOff>
      <xdr:row>101</xdr:row>
      <xdr:rowOff>152400</xdr:rowOff>
    </xdr:from>
    <xdr:to>
      <xdr:col>7</xdr:col>
      <xdr:colOff>95250</xdr:colOff>
      <xdr:row>103</xdr:row>
      <xdr:rowOff>19050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3162300" y="4095750"/>
          <a:ext cx="7429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(H / 2)&gt;=3</a:t>
          </a:r>
        </a:p>
      </xdr:txBody>
    </xdr:sp>
    <xdr:clientData/>
  </xdr:twoCellAnchor>
  <xdr:twoCellAnchor>
    <xdr:from>
      <xdr:col>3</xdr:col>
      <xdr:colOff>171450</xdr:colOff>
      <xdr:row>116</xdr:row>
      <xdr:rowOff>114300</xdr:rowOff>
    </xdr:from>
    <xdr:to>
      <xdr:col>9</xdr:col>
      <xdr:colOff>238125</xdr:colOff>
      <xdr:row>125</xdr:row>
      <xdr:rowOff>114300</xdr:rowOff>
    </xdr:to>
    <xdr:sp macro="" textlink="">
      <xdr:nvSpPr>
        <xdr:cNvPr id="37" name="Freeform 37"/>
        <xdr:cNvSpPr>
          <a:spLocks/>
        </xdr:cNvSpPr>
      </xdr:nvSpPr>
      <xdr:spPr bwMode="auto">
        <a:xfrm rot="249543">
          <a:off x="1657350" y="6486525"/>
          <a:ext cx="3552825" cy="1457325"/>
        </a:xfrm>
        <a:custGeom>
          <a:avLst/>
          <a:gdLst>
            <a:gd name="T0" fmla="*/ 0 w 407"/>
            <a:gd name="T1" fmla="*/ 2147483646 h 158"/>
            <a:gd name="T2" fmla="*/ 2147483646 w 407"/>
            <a:gd name="T3" fmla="*/ 2147483646 h 158"/>
            <a:gd name="T4" fmla="*/ 2147483646 w 407"/>
            <a:gd name="T5" fmla="*/ 2147483646 h 158"/>
            <a:gd name="T6" fmla="*/ 2147483646 w 407"/>
            <a:gd name="T7" fmla="*/ 2147483646 h 158"/>
            <a:gd name="T8" fmla="*/ 2147483646 w 407"/>
            <a:gd name="T9" fmla="*/ 2147483646 h 158"/>
            <a:gd name="T10" fmla="*/ 2147483646 w 407"/>
            <a:gd name="T11" fmla="*/ 2147483646 h 158"/>
            <a:gd name="T12" fmla="*/ 2147483646 w 407"/>
            <a:gd name="T13" fmla="*/ 2147483646 h 158"/>
            <a:gd name="T14" fmla="*/ 2147483646 w 407"/>
            <a:gd name="T15" fmla="*/ 2147483646 h 158"/>
            <a:gd name="T16" fmla="*/ 2147483646 w 407"/>
            <a:gd name="T17" fmla="*/ 2147483646 h 158"/>
            <a:gd name="T18" fmla="*/ 2147483646 w 407"/>
            <a:gd name="T19" fmla="*/ 2147483646 h 158"/>
            <a:gd name="T20" fmla="*/ 2147483646 w 407"/>
            <a:gd name="T21" fmla="*/ 2147483646 h 158"/>
            <a:gd name="T22" fmla="*/ 2147483646 w 407"/>
            <a:gd name="T23" fmla="*/ 2147483646 h 158"/>
            <a:gd name="T24" fmla="*/ 2147483646 w 407"/>
            <a:gd name="T25" fmla="*/ 2147483646 h 158"/>
            <a:gd name="T26" fmla="*/ 2147483646 w 407"/>
            <a:gd name="T27" fmla="*/ 2147483646 h 158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407"/>
            <a:gd name="T43" fmla="*/ 0 h 158"/>
            <a:gd name="T44" fmla="*/ 407 w 407"/>
            <a:gd name="T45" fmla="*/ 158 h 158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407" h="158">
              <a:moveTo>
                <a:pt x="0" y="38"/>
              </a:moveTo>
              <a:cubicBezTo>
                <a:pt x="14" y="39"/>
                <a:pt x="28" y="41"/>
                <a:pt x="40" y="47"/>
              </a:cubicBezTo>
              <a:cubicBezTo>
                <a:pt x="52" y="53"/>
                <a:pt x="62" y="70"/>
                <a:pt x="71" y="77"/>
              </a:cubicBezTo>
              <a:cubicBezTo>
                <a:pt x="80" y="84"/>
                <a:pt x="83" y="86"/>
                <a:pt x="92" y="91"/>
              </a:cubicBezTo>
              <a:cubicBezTo>
                <a:pt x="101" y="96"/>
                <a:pt x="115" y="96"/>
                <a:pt x="125" y="104"/>
              </a:cubicBezTo>
              <a:cubicBezTo>
                <a:pt x="135" y="112"/>
                <a:pt x="145" y="130"/>
                <a:pt x="154" y="138"/>
              </a:cubicBezTo>
              <a:cubicBezTo>
                <a:pt x="163" y="146"/>
                <a:pt x="170" y="150"/>
                <a:pt x="177" y="153"/>
              </a:cubicBezTo>
              <a:cubicBezTo>
                <a:pt x="184" y="156"/>
                <a:pt x="188" y="158"/>
                <a:pt x="196" y="155"/>
              </a:cubicBezTo>
              <a:cubicBezTo>
                <a:pt x="204" y="152"/>
                <a:pt x="213" y="143"/>
                <a:pt x="225" y="136"/>
              </a:cubicBezTo>
              <a:cubicBezTo>
                <a:pt x="237" y="129"/>
                <a:pt x="256" y="120"/>
                <a:pt x="265" y="111"/>
              </a:cubicBezTo>
              <a:cubicBezTo>
                <a:pt x="274" y="102"/>
                <a:pt x="274" y="91"/>
                <a:pt x="281" y="79"/>
              </a:cubicBezTo>
              <a:cubicBezTo>
                <a:pt x="288" y="67"/>
                <a:pt x="295" y="49"/>
                <a:pt x="308" y="37"/>
              </a:cubicBezTo>
              <a:cubicBezTo>
                <a:pt x="321" y="25"/>
                <a:pt x="345" y="12"/>
                <a:pt x="361" y="6"/>
              </a:cubicBezTo>
              <a:cubicBezTo>
                <a:pt x="377" y="0"/>
                <a:pt x="392" y="0"/>
                <a:pt x="407" y="1"/>
              </a:cubicBezTo>
            </a:path>
          </a:pathLst>
        </a:cu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361950</xdr:colOff>
      <xdr:row>124</xdr:row>
      <xdr:rowOff>95250</xdr:rowOff>
    </xdr:from>
    <xdr:to>
      <xdr:col>6</xdr:col>
      <xdr:colOff>352425</xdr:colOff>
      <xdr:row>124</xdr:row>
      <xdr:rowOff>95250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3009900" y="7762875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247650</xdr:colOff>
      <xdr:row>123</xdr:row>
      <xdr:rowOff>95250</xdr:rowOff>
    </xdr:from>
    <xdr:to>
      <xdr:col>7</xdr:col>
      <xdr:colOff>66675</xdr:colOff>
      <xdr:row>123</xdr:row>
      <xdr:rowOff>95250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2895600" y="760095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533400</xdr:colOff>
      <xdr:row>118</xdr:row>
      <xdr:rowOff>95250</xdr:rowOff>
    </xdr:from>
    <xdr:to>
      <xdr:col>8</xdr:col>
      <xdr:colOff>142875</xdr:colOff>
      <xdr:row>118</xdr:row>
      <xdr:rowOff>95250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2019300" y="6791325"/>
          <a:ext cx="25146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104775</xdr:colOff>
      <xdr:row>119</xdr:row>
      <xdr:rowOff>95250</xdr:rowOff>
    </xdr:from>
    <xdr:to>
      <xdr:col>7</xdr:col>
      <xdr:colOff>495300</xdr:colOff>
      <xdr:row>119</xdr:row>
      <xdr:rowOff>95250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2171700" y="6953250"/>
          <a:ext cx="21336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38100</xdr:colOff>
      <xdr:row>123</xdr:row>
      <xdr:rowOff>114300</xdr:rowOff>
    </xdr:from>
    <xdr:to>
      <xdr:col>6</xdr:col>
      <xdr:colOff>238125</xdr:colOff>
      <xdr:row>124</xdr:row>
      <xdr:rowOff>133350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3267075" y="7620000"/>
          <a:ext cx="2000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L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6</xdr:col>
      <xdr:colOff>28575</xdr:colOff>
      <xdr:row>122</xdr:row>
      <xdr:rowOff>104775</xdr:rowOff>
    </xdr:from>
    <xdr:to>
      <xdr:col>6</xdr:col>
      <xdr:colOff>219075</xdr:colOff>
      <xdr:row>123</xdr:row>
      <xdr:rowOff>133350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3257550" y="7448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L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5</xdr:col>
      <xdr:colOff>571500</xdr:colOff>
      <xdr:row>118</xdr:row>
      <xdr:rowOff>114300</xdr:rowOff>
    </xdr:from>
    <xdr:to>
      <xdr:col>6</xdr:col>
      <xdr:colOff>276225</xdr:colOff>
      <xdr:row>119</xdr:row>
      <xdr:rowOff>133350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3219450" y="6810375"/>
          <a:ext cx="2857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L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n-1</a:t>
          </a:r>
        </a:p>
      </xdr:txBody>
    </xdr:sp>
    <xdr:clientData/>
  </xdr:twoCellAnchor>
  <xdr:twoCellAnchor>
    <xdr:from>
      <xdr:col>5</xdr:col>
      <xdr:colOff>571500</xdr:colOff>
      <xdr:row>117</xdr:row>
      <xdr:rowOff>114300</xdr:rowOff>
    </xdr:from>
    <xdr:to>
      <xdr:col>6</xdr:col>
      <xdr:colOff>219075</xdr:colOff>
      <xdr:row>118</xdr:row>
      <xdr:rowOff>123825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3219450" y="6648450"/>
          <a:ext cx="2286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L</a:t>
          </a:r>
          <a:r>
            <a:rPr lang="pt-BR" sz="800" b="1" i="0" strike="noStrike" baseline="-25000">
              <a:solidFill>
                <a:srgbClr val="000000"/>
              </a:solidFill>
              <a:latin typeface="Arial"/>
              <a:cs typeface="Arial"/>
            </a:rPr>
            <a:t>n</a:t>
          </a:r>
        </a:p>
      </xdr:txBody>
    </xdr:sp>
    <xdr:clientData/>
  </xdr:twoCellAnchor>
  <xdr:twoCellAnchor>
    <xdr:from>
      <xdr:col>6</xdr:col>
      <xdr:colOff>28575</xdr:colOff>
      <xdr:row>118</xdr:row>
      <xdr:rowOff>152400</xdr:rowOff>
    </xdr:from>
    <xdr:to>
      <xdr:col>6</xdr:col>
      <xdr:colOff>180975</xdr:colOff>
      <xdr:row>123</xdr:row>
      <xdr:rowOff>38100</xdr:rowOff>
    </xdr:to>
    <xdr:sp macro="" textlink="">
      <xdr:nvSpPr>
        <xdr:cNvPr id="46" name="Text Box 46"/>
        <xdr:cNvSpPr txBox="1">
          <a:spLocks noChangeArrowheads="1"/>
        </xdr:cNvSpPr>
      </xdr:nvSpPr>
      <xdr:spPr bwMode="auto">
        <a:xfrm>
          <a:off x="3257550" y="6848475"/>
          <a:ext cx="152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>
    <xdr:from>
      <xdr:col>5</xdr:col>
      <xdr:colOff>38100</xdr:colOff>
      <xdr:row>116</xdr:row>
      <xdr:rowOff>47625</xdr:rowOff>
    </xdr:from>
    <xdr:to>
      <xdr:col>7</xdr:col>
      <xdr:colOff>257175</xdr:colOff>
      <xdr:row>117</xdr:row>
      <xdr:rowOff>114300</xdr:rowOff>
    </xdr:to>
    <xdr:sp macro="" textlink="">
      <xdr:nvSpPr>
        <xdr:cNvPr id="47" name="Text Box 47"/>
        <xdr:cNvSpPr txBox="1">
          <a:spLocks noChangeArrowheads="1"/>
        </xdr:cNvSpPr>
      </xdr:nvSpPr>
      <xdr:spPr bwMode="auto">
        <a:xfrm>
          <a:off x="2686050" y="6419850"/>
          <a:ext cx="13811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Seção longitudinal (eixo)</a:t>
          </a:r>
        </a:p>
      </xdr:txBody>
    </xdr:sp>
    <xdr:clientData/>
  </xdr:twoCellAnchor>
  <xdr:twoCellAnchor>
    <xdr:from>
      <xdr:col>6</xdr:col>
      <xdr:colOff>66675</xdr:colOff>
      <xdr:row>125</xdr:row>
      <xdr:rowOff>104775</xdr:rowOff>
    </xdr:from>
    <xdr:to>
      <xdr:col>8</xdr:col>
      <xdr:colOff>447675</xdr:colOff>
      <xdr:row>125</xdr:row>
      <xdr:rowOff>104775</xdr:rowOff>
    </xdr:to>
    <xdr:sp macro="" textlink="">
      <xdr:nvSpPr>
        <xdr:cNvPr id="48" name="Line 49"/>
        <xdr:cNvSpPr>
          <a:spLocks noChangeShapeType="1"/>
        </xdr:cNvSpPr>
      </xdr:nvSpPr>
      <xdr:spPr bwMode="auto">
        <a:xfrm>
          <a:off x="3295650" y="7934325"/>
          <a:ext cx="15430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123825</xdr:colOff>
      <xdr:row>118</xdr:row>
      <xdr:rowOff>104775</xdr:rowOff>
    </xdr:from>
    <xdr:to>
      <xdr:col>8</xdr:col>
      <xdr:colOff>123825</xdr:colOff>
      <xdr:row>125</xdr:row>
      <xdr:rowOff>104775</xdr:rowOff>
    </xdr:to>
    <xdr:sp macro="" textlink="">
      <xdr:nvSpPr>
        <xdr:cNvPr id="49" name="Line 50"/>
        <xdr:cNvSpPr>
          <a:spLocks noChangeShapeType="1"/>
        </xdr:cNvSpPr>
      </xdr:nvSpPr>
      <xdr:spPr bwMode="auto">
        <a:xfrm>
          <a:off x="4514850" y="6800850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prstDash val="lg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180975</xdr:colOff>
      <xdr:row>121</xdr:row>
      <xdr:rowOff>123825</xdr:rowOff>
    </xdr:from>
    <xdr:ext cx="92526" cy="141001"/>
    <xdr:sp macro="" textlink="">
      <xdr:nvSpPr>
        <xdr:cNvPr id="50" name="Text Box 51"/>
        <xdr:cNvSpPr txBox="1">
          <a:spLocks noChangeArrowheads="1"/>
        </xdr:cNvSpPr>
      </xdr:nvSpPr>
      <xdr:spPr bwMode="auto">
        <a:xfrm>
          <a:off x="4572000" y="7305675"/>
          <a:ext cx="92526" cy="141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H</a:t>
          </a:r>
        </a:p>
      </xdr:txBody>
    </xdr:sp>
    <xdr:clientData/>
  </xdr:oneCellAnchor>
  <xdr:twoCellAnchor>
    <xdr:from>
      <xdr:col>5</xdr:col>
      <xdr:colOff>9525</xdr:colOff>
      <xdr:row>123</xdr:row>
      <xdr:rowOff>95250</xdr:rowOff>
    </xdr:from>
    <xdr:to>
      <xdr:col>5</xdr:col>
      <xdr:colOff>142875</xdr:colOff>
      <xdr:row>123</xdr:row>
      <xdr:rowOff>95250</xdr:rowOff>
    </xdr:to>
    <xdr:sp macro="" textlink="">
      <xdr:nvSpPr>
        <xdr:cNvPr id="51" name="Line 52"/>
        <xdr:cNvSpPr>
          <a:spLocks noChangeShapeType="1"/>
        </xdr:cNvSpPr>
      </xdr:nvSpPr>
      <xdr:spPr bwMode="auto">
        <a:xfrm flipH="1">
          <a:off x="2657475" y="760095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124</xdr:row>
      <xdr:rowOff>95250</xdr:rowOff>
    </xdr:from>
    <xdr:to>
      <xdr:col>5</xdr:col>
      <xdr:colOff>142875</xdr:colOff>
      <xdr:row>124</xdr:row>
      <xdr:rowOff>95250</xdr:rowOff>
    </xdr:to>
    <xdr:sp macro="" textlink="">
      <xdr:nvSpPr>
        <xdr:cNvPr id="52" name="Line 53"/>
        <xdr:cNvSpPr>
          <a:spLocks noChangeShapeType="1"/>
        </xdr:cNvSpPr>
      </xdr:nvSpPr>
      <xdr:spPr bwMode="auto">
        <a:xfrm flipH="1">
          <a:off x="2657475" y="7762875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123</xdr:row>
      <xdr:rowOff>95250</xdr:rowOff>
    </xdr:from>
    <xdr:to>
      <xdr:col>5</xdr:col>
      <xdr:colOff>76200</xdr:colOff>
      <xdr:row>124</xdr:row>
      <xdr:rowOff>95250</xdr:rowOff>
    </xdr:to>
    <xdr:sp macro="" textlink="">
      <xdr:nvSpPr>
        <xdr:cNvPr id="53" name="Line 54"/>
        <xdr:cNvSpPr>
          <a:spLocks noChangeShapeType="1"/>
        </xdr:cNvSpPr>
      </xdr:nvSpPr>
      <xdr:spPr bwMode="auto">
        <a:xfrm>
          <a:off x="2724150" y="760095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4</xdr:col>
      <xdr:colOff>390525</xdr:colOff>
      <xdr:row>123</xdr:row>
      <xdr:rowOff>104775</xdr:rowOff>
    </xdr:from>
    <xdr:ext cx="246606" cy="141001"/>
    <xdr:sp macro="" textlink="">
      <xdr:nvSpPr>
        <xdr:cNvPr id="54" name="Text Box 55"/>
        <xdr:cNvSpPr txBox="1">
          <a:spLocks noChangeArrowheads="1"/>
        </xdr:cNvSpPr>
      </xdr:nvSpPr>
      <xdr:spPr bwMode="auto">
        <a:xfrm>
          <a:off x="2457450" y="7610475"/>
          <a:ext cx="246606" cy="141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0,5m</a:t>
          </a:r>
        </a:p>
      </xdr:txBody>
    </xdr:sp>
    <xdr:clientData/>
  </xdr:oneCellAnchor>
  <xdr:twoCellAnchor>
    <xdr:from>
      <xdr:col>4</xdr:col>
      <xdr:colOff>257175</xdr:colOff>
      <xdr:row>111</xdr:row>
      <xdr:rowOff>76200</xdr:rowOff>
    </xdr:from>
    <xdr:to>
      <xdr:col>5</xdr:col>
      <xdr:colOff>323850</xdr:colOff>
      <xdr:row>113</xdr:row>
      <xdr:rowOff>47625</xdr:rowOff>
    </xdr:to>
    <xdr:sp macro="" textlink="">
      <xdr:nvSpPr>
        <xdr:cNvPr id="55" name="Freeform 56" descr="70%"/>
        <xdr:cNvSpPr>
          <a:spLocks/>
        </xdr:cNvSpPr>
      </xdr:nvSpPr>
      <xdr:spPr bwMode="auto">
        <a:xfrm>
          <a:off x="2324100" y="5638800"/>
          <a:ext cx="647700" cy="295275"/>
        </a:xfrm>
        <a:custGeom>
          <a:avLst/>
          <a:gdLst>
            <a:gd name="T0" fmla="*/ 0 w 72"/>
            <a:gd name="T1" fmla="*/ 0 h 31"/>
            <a:gd name="T2" fmla="*/ 2147483646 w 72"/>
            <a:gd name="T3" fmla="*/ 2147483646 h 31"/>
            <a:gd name="T4" fmla="*/ 2147483646 w 72"/>
            <a:gd name="T5" fmla="*/ 2147483646 h 31"/>
            <a:gd name="T6" fmla="*/ 2147483646 w 72"/>
            <a:gd name="T7" fmla="*/ 0 h 31"/>
            <a:gd name="T8" fmla="*/ 0 w 72"/>
            <a:gd name="T9" fmla="*/ 0 h 3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72"/>
            <a:gd name="T16" fmla="*/ 0 h 31"/>
            <a:gd name="T17" fmla="*/ 72 w 72"/>
            <a:gd name="T18" fmla="*/ 31 h 31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72" h="31">
              <a:moveTo>
                <a:pt x="0" y="0"/>
              </a:moveTo>
              <a:lnTo>
                <a:pt x="13" y="31"/>
              </a:lnTo>
              <a:lnTo>
                <a:pt x="59" y="31"/>
              </a:lnTo>
              <a:lnTo>
                <a:pt x="72" y="0"/>
              </a:lnTo>
              <a:lnTo>
                <a:pt x="0" y="0"/>
              </a:lnTo>
              <a:close/>
            </a:path>
          </a:pathLst>
        </a:cu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381000</xdr:colOff>
      <xdr:row>111</xdr:row>
      <xdr:rowOff>104775</xdr:rowOff>
    </xdr:from>
    <xdr:to>
      <xdr:col>4</xdr:col>
      <xdr:colOff>371475</xdr:colOff>
      <xdr:row>113</xdr:row>
      <xdr:rowOff>9525</xdr:rowOff>
    </xdr:to>
    <xdr:sp macro="" textlink="">
      <xdr:nvSpPr>
        <xdr:cNvPr id="56" name="Freeform 57" descr="Confetes grandes"/>
        <xdr:cNvSpPr>
          <a:spLocks/>
        </xdr:cNvSpPr>
      </xdr:nvSpPr>
      <xdr:spPr bwMode="auto">
        <a:xfrm>
          <a:off x="742950" y="5667375"/>
          <a:ext cx="1695450" cy="228600"/>
        </a:xfrm>
        <a:custGeom>
          <a:avLst/>
          <a:gdLst>
            <a:gd name="T0" fmla="*/ 0 w 190"/>
            <a:gd name="T1" fmla="*/ 0 h 24"/>
            <a:gd name="T2" fmla="*/ 2147483646 w 190"/>
            <a:gd name="T3" fmla="*/ 0 h 24"/>
            <a:gd name="T4" fmla="*/ 2147483646 w 190"/>
            <a:gd name="T5" fmla="*/ 2147483646 h 24"/>
            <a:gd name="T6" fmla="*/ 0 w 190"/>
            <a:gd name="T7" fmla="*/ 2147483646 h 24"/>
            <a:gd name="T8" fmla="*/ 2147483646 w 190"/>
            <a:gd name="T9" fmla="*/ 2147483646 h 24"/>
            <a:gd name="T10" fmla="*/ 2147483646 w 190"/>
            <a:gd name="T11" fmla="*/ 2147483646 h 24"/>
            <a:gd name="T12" fmla="*/ 0 w 190"/>
            <a:gd name="T13" fmla="*/ 0 h 2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90"/>
            <a:gd name="T22" fmla="*/ 0 h 24"/>
            <a:gd name="T23" fmla="*/ 190 w 190"/>
            <a:gd name="T24" fmla="*/ 24 h 2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90" h="24">
              <a:moveTo>
                <a:pt x="0" y="0"/>
              </a:moveTo>
              <a:lnTo>
                <a:pt x="181" y="0"/>
              </a:lnTo>
              <a:lnTo>
                <a:pt x="190" y="24"/>
              </a:lnTo>
              <a:lnTo>
                <a:pt x="0" y="24"/>
              </a:lnTo>
              <a:lnTo>
                <a:pt x="6" y="16"/>
              </a:lnTo>
              <a:lnTo>
                <a:pt x="1" y="11"/>
              </a:lnTo>
              <a:lnTo>
                <a:pt x="0" y="0"/>
              </a:lnTo>
              <a:close/>
            </a:path>
          </a:pathLst>
        </a:custGeom>
        <a:blipFill dpi="0" rotWithShape="0">
          <a:blip xmlns:r="http://schemas.openxmlformats.org/officeDocument/2006/relationships" r:embed="rId2"/>
          <a:srcRect/>
          <a:tile tx="0" ty="0" sx="100000" sy="100000" flip="none" algn="tl"/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238125</xdr:colOff>
      <xdr:row>111</xdr:row>
      <xdr:rowOff>104775</xdr:rowOff>
    </xdr:from>
    <xdr:to>
      <xdr:col>10</xdr:col>
      <xdr:colOff>257175</xdr:colOff>
      <xdr:row>113</xdr:row>
      <xdr:rowOff>0</xdr:rowOff>
    </xdr:to>
    <xdr:sp macro="" textlink="">
      <xdr:nvSpPr>
        <xdr:cNvPr id="57" name="Freeform 58" descr="Confetes grandes"/>
        <xdr:cNvSpPr>
          <a:spLocks/>
        </xdr:cNvSpPr>
      </xdr:nvSpPr>
      <xdr:spPr bwMode="auto">
        <a:xfrm>
          <a:off x="2886075" y="5667375"/>
          <a:ext cx="2924175" cy="219075"/>
        </a:xfrm>
        <a:custGeom>
          <a:avLst/>
          <a:gdLst>
            <a:gd name="T0" fmla="*/ 2147483646 w 328"/>
            <a:gd name="T1" fmla="*/ 0 h 23"/>
            <a:gd name="T2" fmla="*/ 2147483646 w 328"/>
            <a:gd name="T3" fmla="*/ 0 h 23"/>
            <a:gd name="T4" fmla="*/ 0 w 328"/>
            <a:gd name="T5" fmla="*/ 2147483646 h 23"/>
            <a:gd name="T6" fmla="*/ 2147483646 w 328"/>
            <a:gd name="T7" fmla="*/ 2147483646 h 23"/>
            <a:gd name="T8" fmla="*/ 2147483646 w 328"/>
            <a:gd name="T9" fmla="*/ 2147483646 h 23"/>
            <a:gd name="T10" fmla="*/ 2147483646 w 328"/>
            <a:gd name="T11" fmla="*/ 2147483646 h 23"/>
            <a:gd name="T12" fmla="*/ 2147483646 w 328"/>
            <a:gd name="T13" fmla="*/ 0 h 23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328"/>
            <a:gd name="T22" fmla="*/ 0 h 23"/>
            <a:gd name="T23" fmla="*/ 328 w 328"/>
            <a:gd name="T24" fmla="*/ 23 h 23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328" h="23">
              <a:moveTo>
                <a:pt x="328" y="0"/>
              </a:moveTo>
              <a:lnTo>
                <a:pt x="10" y="0"/>
              </a:lnTo>
              <a:lnTo>
                <a:pt x="0" y="23"/>
              </a:lnTo>
              <a:lnTo>
                <a:pt x="326" y="23"/>
              </a:lnTo>
              <a:lnTo>
                <a:pt x="321" y="16"/>
              </a:lnTo>
              <a:lnTo>
                <a:pt x="328" y="13"/>
              </a:lnTo>
              <a:lnTo>
                <a:pt x="328" y="0"/>
              </a:lnTo>
              <a:close/>
            </a:path>
          </a:pathLst>
        </a:custGeom>
        <a:blipFill dpi="0" rotWithShape="0">
          <a:blip xmlns:r="http://schemas.openxmlformats.org/officeDocument/2006/relationships" r:embed="rId2"/>
          <a:srcRect/>
          <a:tile tx="0" ty="0" sx="100000" sy="100000" flip="none" algn="tl"/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371475</xdr:colOff>
      <xdr:row>113</xdr:row>
      <xdr:rowOff>0</xdr:rowOff>
    </xdr:from>
    <xdr:to>
      <xdr:col>10</xdr:col>
      <xdr:colOff>238125</xdr:colOff>
      <xdr:row>114</xdr:row>
      <xdr:rowOff>47625</xdr:rowOff>
    </xdr:to>
    <xdr:sp macro="" textlink="">
      <xdr:nvSpPr>
        <xdr:cNvPr id="58" name="Freeform 59" descr="Ondulado"/>
        <xdr:cNvSpPr>
          <a:spLocks/>
        </xdr:cNvSpPr>
      </xdr:nvSpPr>
      <xdr:spPr bwMode="auto">
        <a:xfrm>
          <a:off x="733425" y="5886450"/>
          <a:ext cx="5057775" cy="209550"/>
        </a:xfrm>
        <a:custGeom>
          <a:avLst/>
          <a:gdLst>
            <a:gd name="T0" fmla="*/ 2147483646 w 566"/>
            <a:gd name="T1" fmla="*/ 0 h 22"/>
            <a:gd name="T2" fmla="*/ 2147483646 w 566"/>
            <a:gd name="T3" fmla="*/ 0 h 22"/>
            <a:gd name="T4" fmla="*/ 2147483646 w 566"/>
            <a:gd name="T5" fmla="*/ 2147483646 h 22"/>
            <a:gd name="T6" fmla="*/ 2147483646 w 566"/>
            <a:gd name="T7" fmla="*/ 2147483646 h 22"/>
            <a:gd name="T8" fmla="*/ 2147483646 w 566"/>
            <a:gd name="T9" fmla="*/ 2147483646 h 22"/>
            <a:gd name="T10" fmla="*/ 2147483646 w 566"/>
            <a:gd name="T11" fmla="*/ 2147483646 h 22"/>
            <a:gd name="T12" fmla="*/ 2147483646 w 566"/>
            <a:gd name="T13" fmla="*/ 2147483646 h 22"/>
            <a:gd name="T14" fmla="*/ 2147483646 w 566"/>
            <a:gd name="T15" fmla="*/ 2147483646 h 22"/>
            <a:gd name="T16" fmla="*/ 0 w 566"/>
            <a:gd name="T17" fmla="*/ 2147483646 h 22"/>
            <a:gd name="T18" fmla="*/ 2147483646 w 566"/>
            <a:gd name="T19" fmla="*/ 2147483646 h 22"/>
            <a:gd name="T20" fmla="*/ 2147483646 w 566"/>
            <a:gd name="T21" fmla="*/ 0 h 22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566"/>
            <a:gd name="T34" fmla="*/ 0 h 22"/>
            <a:gd name="T35" fmla="*/ 566 w 566"/>
            <a:gd name="T36" fmla="*/ 22 h 22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566" h="22">
              <a:moveTo>
                <a:pt x="2" y="0"/>
              </a:moveTo>
              <a:lnTo>
                <a:pt x="188" y="0"/>
              </a:lnTo>
              <a:lnTo>
                <a:pt x="193" y="6"/>
              </a:lnTo>
              <a:lnTo>
                <a:pt x="237" y="6"/>
              </a:lnTo>
              <a:lnTo>
                <a:pt x="243" y="1"/>
              </a:lnTo>
              <a:lnTo>
                <a:pt x="564" y="1"/>
              </a:lnTo>
              <a:lnTo>
                <a:pt x="559" y="8"/>
              </a:lnTo>
              <a:lnTo>
                <a:pt x="566" y="22"/>
              </a:lnTo>
              <a:lnTo>
                <a:pt x="0" y="22"/>
              </a:lnTo>
              <a:lnTo>
                <a:pt x="8" y="13"/>
              </a:lnTo>
              <a:lnTo>
                <a:pt x="2" y="0"/>
              </a:lnTo>
              <a:close/>
            </a:path>
          </a:pathLst>
        </a:custGeom>
        <a:blipFill dpi="0" rotWithShape="0">
          <a:blip xmlns:r="http://schemas.openxmlformats.org/officeDocument/2006/relationships" r:embed="rId3"/>
          <a:srcRect/>
          <a:tile tx="0" ty="0" sx="100000" sy="100000" flip="none" algn="tl"/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85725</xdr:colOff>
      <xdr:row>99</xdr:row>
      <xdr:rowOff>142875</xdr:rowOff>
    </xdr:from>
    <xdr:ext cx="1329675" cy="589895"/>
    <xdr:sp macro="" textlink="">
      <xdr:nvSpPr>
        <xdr:cNvPr id="59" name="Text Box 60"/>
        <xdr:cNvSpPr txBox="1">
          <a:spLocks noChangeArrowheads="1"/>
        </xdr:cNvSpPr>
      </xdr:nvSpPr>
      <xdr:spPr bwMode="auto">
        <a:xfrm>
          <a:off x="85725" y="3762375"/>
          <a:ext cx="1329675" cy="5898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800" b="1" i="0" u="sng" strike="noStrike">
              <a:solidFill>
                <a:srgbClr val="000000"/>
              </a:solidFill>
              <a:latin typeface="Arial"/>
              <a:cs typeface="Arial"/>
            </a:rPr>
            <a:t>Inclinações dos taludes</a:t>
          </a:r>
          <a:endParaRPr lang="pt-BR" sz="8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Montante - 1:2</a:t>
          </a:r>
        </a:p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  Jusante - 1:2       H &lt;= 6m</a:t>
          </a:r>
        </a:p>
        <a:p>
          <a:pPr algn="l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                  - 1:2,5    H  &gt; 6m</a:t>
          </a:r>
        </a:p>
      </xdr:txBody>
    </xdr:sp>
    <xdr:clientData/>
  </xdr:oneCellAnchor>
  <xdr:twoCellAnchor>
    <xdr:from>
      <xdr:col>2</xdr:col>
      <xdr:colOff>142875</xdr:colOff>
      <xdr:row>105</xdr:row>
      <xdr:rowOff>19050</xdr:rowOff>
    </xdr:from>
    <xdr:to>
      <xdr:col>4</xdr:col>
      <xdr:colOff>561975</xdr:colOff>
      <xdr:row>105</xdr:row>
      <xdr:rowOff>19050</xdr:rowOff>
    </xdr:to>
    <xdr:sp macro="" textlink="">
      <xdr:nvSpPr>
        <xdr:cNvPr id="60" name="Line 61"/>
        <xdr:cNvSpPr>
          <a:spLocks noChangeShapeType="1"/>
        </xdr:cNvSpPr>
      </xdr:nvSpPr>
      <xdr:spPr bwMode="auto">
        <a:xfrm>
          <a:off x="1047750" y="4610100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128</xdr:row>
          <xdr:rowOff>104775</xdr:rowOff>
        </xdr:from>
        <xdr:to>
          <xdr:col>9</xdr:col>
          <xdr:colOff>466725</xdr:colOff>
          <xdr:row>133</xdr:row>
          <xdr:rowOff>85725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gradFill rotWithShape="1">
              <a:gsLst>
                <a:gs pos="0">
                  <a:srgbClr val="FFFF99" mc:Ignorable="a14" a14:legacySpreadsheetColorIndex="43"/>
                </a:gs>
                <a:gs pos="100000">
                  <a:srgbClr val="767647" mc:Ignorable="a14" a14:legacySpreadsheetColorIndex="43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>
              <a:noFill/>
            </a:ln>
            <a:extLst>
              <a:ext uri="{91240B29-F687-4F45-9708-019B960494DF}">
                <a14:hiddenLine w="9525">
                  <a:solidFill>
                    <a:srgbClr val="424242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885825</xdr:colOff>
      <xdr:row>15</xdr:row>
      <xdr:rowOff>0</xdr:rowOff>
    </xdr:from>
    <xdr:to>
      <xdr:col>0</xdr:col>
      <xdr:colOff>1762125</xdr:colOff>
      <xdr:row>16</xdr:row>
      <xdr:rowOff>142875</xdr:rowOff>
    </xdr:to>
    <xdr:sp macro="" textlink="">
      <xdr:nvSpPr>
        <xdr:cNvPr id="62" name="Freeform 6"/>
        <xdr:cNvSpPr>
          <a:spLocks/>
        </xdr:cNvSpPr>
      </xdr:nvSpPr>
      <xdr:spPr bwMode="auto">
        <a:xfrm>
          <a:off x="885825" y="2381250"/>
          <a:ext cx="876300" cy="342900"/>
        </a:xfrm>
        <a:custGeom>
          <a:avLst/>
          <a:gdLst>
            <a:gd name="T0" fmla="*/ 0 w 92"/>
            <a:gd name="T1" fmla="*/ 0 h 36"/>
            <a:gd name="T2" fmla="*/ 0 w 92"/>
            <a:gd name="T3" fmla="*/ 2147483646 h 36"/>
            <a:gd name="T4" fmla="*/ 2147483646 w 92"/>
            <a:gd name="T5" fmla="*/ 2147483646 h 36"/>
            <a:gd name="T6" fmla="*/ 0 60000 65536"/>
            <a:gd name="T7" fmla="*/ 0 60000 65536"/>
            <a:gd name="T8" fmla="*/ 0 60000 65536"/>
            <a:gd name="T9" fmla="*/ 0 w 92"/>
            <a:gd name="T10" fmla="*/ 0 h 36"/>
            <a:gd name="T11" fmla="*/ 92 w 92"/>
            <a:gd name="T12" fmla="*/ 36 h 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92" h="36">
              <a:moveTo>
                <a:pt x="0" y="0"/>
              </a:moveTo>
              <a:lnTo>
                <a:pt x="0" y="36"/>
              </a:lnTo>
              <a:lnTo>
                <a:pt x="92" y="36"/>
              </a:lnTo>
            </a:path>
          </a:pathLst>
        </a:cu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2514600</xdr:colOff>
      <xdr:row>17</xdr:row>
      <xdr:rowOff>0</xdr:rowOff>
    </xdr:from>
    <xdr:to>
      <xdr:col>0</xdr:col>
      <xdr:colOff>3390900</xdr:colOff>
      <xdr:row>18</xdr:row>
      <xdr:rowOff>142875</xdr:rowOff>
    </xdr:to>
    <xdr:sp macro="" textlink="">
      <xdr:nvSpPr>
        <xdr:cNvPr id="63" name="Freeform 7"/>
        <xdr:cNvSpPr>
          <a:spLocks/>
        </xdr:cNvSpPr>
      </xdr:nvSpPr>
      <xdr:spPr bwMode="auto">
        <a:xfrm>
          <a:off x="2514600" y="2771775"/>
          <a:ext cx="876300" cy="342900"/>
        </a:xfrm>
        <a:custGeom>
          <a:avLst/>
          <a:gdLst>
            <a:gd name="T0" fmla="*/ 0 w 92"/>
            <a:gd name="T1" fmla="*/ 0 h 36"/>
            <a:gd name="T2" fmla="*/ 0 w 92"/>
            <a:gd name="T3" fmla="*/ 2147483646 h 36"/>
            <a:gd name="T4" fmla="*/ 2147483646 w 92"/>
            <a:gd name="T5" fmla="*/ 2147483646 h 36"/>
            <a:gd name="T6" fmla="*/ 0 60000 65536"/>
            <a:gd name="T7" fmla="*/ 0 60000 65536"/>
            <a:gd name="T8" fmla="*/ 0 60000 65536"/>
            <a:gd name="T9" fmla="*/ 0 w 92"/>
            <a:gd name="T10" fmla="*/ 0 h 36"/>
            <a:gd name="T11" fmla="*/ 92 w 92"/>
            <a:gd name="T12" fmla="*/ 36 h 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92" h="36">
              <a:moveTo>
                <a:pt x="0" y="0"/>
              </a:moveTo>
              <a:lnTo>
                <a:pt x="0" y="36"/>
              </a:lnTo>
              <a:lnTo>
                <a:pt x="92" y="36"/>
              </a:lnTo>
            </a:path>
          </a:pathLst>
        </a:custGeom>
        <a:noFill/>
        <a:ln w="9525">
          <a:solidFill>
            <a:srgbClr val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47626</xdr:colOff>
      <xdr:row>0</xdr:row>
      <xdr:rowOff>47625</xdr:rowOff>
    </xdr:from>
    <xdr:to>
      <xdr:col>1</xdr:col>
      <xdr:colOff>704851</xdr:colOff>
      <xdr:row>2</xdr:row>
      <xdr:rowOff>161925</xdr:rowOff>
    </xdr:to>
    <xdr:pic>
      <xdr:nvPicPr>
        <xdr:cNvPr id="6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>
        <a:xfrm>
          <a:off x="47626" y="47625"/>
          <a:ext cx="15049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681" y="20667"/>
          <a:ext cx="2206925" cy="46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232785" cy="3841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66700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80340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&#170;_GRD/07-LICITA&#199;&#213;ES%202021/11-CONSTRU&#199;&#195;O%20BARRAGEM%20DE%20ANAG&#201;/BARREIRO%20-%20LAPINHA%206m%20ALTUR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DADOS"/>
      <sheetName val="SUMARIO"/>
      <sheetName val="APRESEN"/>
      <sheetName val="ASP AMB"/>
      <sheetName val="LOCAL"/>
      <sheetName val="ESPEC"/>
      <sheetName val="HIDRO"/>
      <sheetName val="PROJ"/>
      <sheetName val="VOL.TERRA1"/>
      <sheetName val="VOL.TERRA2"/>
      <sheetName val="MACRO"/>
      <sheetName val="ANEXOS"/>
      <sheetName val="PLANTAS"/>
      <sheetName val="BACIA HIDRAULICA"/>
      <sheetName val="orçamento obra"/>
    </sheetNames>
    <sheetDataSet>
      <sheetData sheetId="0"/>
      <sheetData sheetId="1">
        <row r="5">
          <cell r="F5" t="str">
            <v>ANAGÉ</v>
          </cell>
        </row>
        <row r="6">
          <cell r="F6" t="str">
            <v>LAPINHA</v>
          </cell>
        </row>
        <row r="15">
          <cell r="F15" t="str">
            <v>Riacho de Tercilio</v>
          </cell>
        </row>
        <row r="24">
          <cell r="K24">
            <v>4.45</v>
          </cell>
        </row>
        <row r="25">
          <cell r="K25">
            <v>600</v>
          </cell>
        </row>
        <row r="26">
          <cell r="K26">
            <v>1.1299999999999999</v>
          </cell>
        </row>
        <row r="27">
          <cell r="K27">
            <v>6</v>
          </cell>
        </row>
        <row r="29">
          <cell r="K29">
            <v>2</v>
          </cell>
        </row>
        <row r="32">
          <cell r="K32">
            <v>68</v>
          </cell>
        </row>
        <row r="33">
          <cell r="K33">
            <v>55</v>
          </cell>
        </row>
        <row r="37">
          <cell r="K37">
            <v>30568.17</v>
          </cell>
        </row>
        <row r="38">
          <cell r="K38">
            <v>1.5</v>
          </cell>
        </row>
        <row r="39">
          <cell r="L39">
            <v>1.6</v>
          </cell>
        </row>
        <row r="40">
          <cell r="K40">
            <v>1</v>
          </cell>
        </row>
        <row r="41">
          <cell r="L41">
            <v>1</v>
          </cell>
        </row>
        <row r="42">
          <cell r="L42">
            <v>1</v>
          </cell>
        </row>
        <row r="54">
          <cell r="D54">
            <v>19.75</v>
          </cell>
        </row>
        <row r="61">
          <cell r="A6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0">
          <cell r="E10">
            <v>210930</v>
          </cell>
        </row>
        <row r="19">
          <cell r="E19">
            <v>3</v>
          </cell>
        </row>
        <row r="29">
          <cell r="E29">
            <v>35.950000000000003</v>
          </cell>
        </row>
      </sheetData>
      <sheetData sheetId="9"/>
      <sheetData sheetId="10"/>
      <sheetData sheetId="11">
        <row r="14">
          <cell r="B14">
            <v>0</v>
          </cell>
        </row>
        <row r="15">
          <cell r="B15">
            <v>4.0999999999999996</v>
          </cell>
        </row>
        <row r="16">
          <cell r="B16">
            <v>0.5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P54"/>
  <sheetViews>
    <sheetView showGridLines="0" tabSelected="1" view="pageBreakPreview" zoomScaleNormal="100" zoomScaleSheetLayoutView="100" workbookViewId="0">
      <selection activeCell="I144" sqref="I144"/>
    </sheetView>
  </sheetViews>
  <sheetFormatPr defaultColWidth="9.140625" defaultRowHeight="12.75"/>
  <cols>
    <col min="1" max="1" width="8.140625" style="248" customWidth="1"/>
    <col min="2" max="2" width="11.28515625" style="248" customWidth="1"/>
    <col min="3" max="3" width="13.28515625" style="248" customWidth="1"/>
    <col min="4" max="4" width="63" style="249" customWidth="1"/>
    <col min="5" max="5" width="7" style="248" customWidth="1"/>
    <col min="6" max="6" width="16.140625" style="250" customWidth="1"/>
    <col min="7" max="8" width="15.7109375" style="251" customWidth="1"/>
    <col min="9" max="9" width="19.42578125" style="252" customWidth="1"/>
    <col min="10" max="10" width="20.5703125" style="248" customWidth="1"/>
    <col min="11" max="11" width="10.140625" style="248" customWidth="1"/>
    <col min="12" max="12" width="12" style="248" customWidth="1"/>
    <col min="13" max="13" width="12.85546875" style="248"/>
    <col min="14" max="16384" width="9.140625" style="248"/>
  </cols>
  <sheetData>
    <row r="1" spans="1:14" s="181" customFormat="1" ht="16.5">
      <c r="A1" s="253"/>
      <c r="B1" s="254"/>
      <c r="C1" s="254"/>
      <c r="D1" s="415" t="s">
        <v>0</v>
      </c>
      <c r="E1" s="415"/>
      <c r="F1" s="415"/>
      <c r="G1" s="416"/>
      <c r="H1" s="416"/>
      <c r="I1" s="416"/>
      <c r="J1" s="451" t="s">
        <v>1</v>
      </c>
    </row>
    <row r="2" spans="1:14" s="181" customFormat="1" ht="16.5">
      <c r="A2" s="255"/>
      <c r="B2" s="256"/>
      <c r="C2" s="256"/>
      <c r="D2" s="417" t="s">
        <v>2</v>
      </c>
      <c r="E2" s="417"/>
      <c r="F2" s="417"/>
      <c r="G2" s="418"/>
      <c r="H2" s="418"/>
      <c r="I2" s="418"/>
      <c r="J2" s="452"/>
    </row>
    <row r="3" spans="1:14" s="181" customFormat="1" ht="16.5">
      <c r="A3" s="255"/>
      <c r="B3" s="256"/>
      <c r="C3" s="256"/>
      <c r="D3" s="417" t="s">
        <v>3</v>
      </c>
      <c r="E3" s="417"/>
      <c r="F3" s="417"/>
      <c r="G3" s="418"/>
      <c r="H3" s="418"/>
      <c r="I3" s="418"/>
      <c r="J3" s="452"/>
    </row>
    <row r="4" spans="1:14" s="182" customFormat="1">
      <c r="A4" s="188"/>
      <c r="B4" s="257"/>
      <c r="C4" s="257"/>
      <c r="D4" s="258"/>
      <c r="E4" s="259"/>
      <c r="F4" s="260"/>
      <c r="G4" s="261"/>
      <c r="H4" s="261"/>
      <c r="I4" s="261"/>
      <c r="J4" s="452"/>
      <c r="L4" s="301"/>
    </row>
    <row r="5" spans="1:14" customFormat="1" ht="42.95" customHeight="1">
      <c r="A5" s="419" t="s">
        <v>4</v>
      </c>
      <c r="B5" s="420"/>
      <c r="C5" s="420"/>
      <c r="D5" s="420"/>
      <c r="E5" s="420"/>
      <c r="F5" s="420"/>
      <c r="G5" s="421"/>
      <c r="H5" s="421"/>
      <c r="I5" s="421"/>
      <c r="J5" s="452"/>
      <c r="L5" s="302"/>
    </row>
    <row r="6" spans="1:14" customFormat="1">
      <c r="A6" s="262"/>
      <c r="B6" s="263"/>
      <c r="C6" s="263"/>
      <c r="D6" s="264"/>
      <c r="E6" s="264"/>
      <c r="F6" s="265"/>
      <c r="G6" s="266"/>
      <c r="H6" s="266"/>
      <c r="I6" s="303"/>
      <c r="J6" s="452"/>
    </row>
    <row r="7" spans="1:14" customFormat="1">
      <c r="A7" s="422" t="s">
        <v>5</v>
      </c>
      <c r="B7" s="423"/>
      <c r="C7" s="423"/>
      <c r="D7" s="267">
        <f>'BDI - SERVIÇOS'!D36</f>
        <v>0.2499528430651341</v>
      </c>
      <c r="E7" s="423" t="s">
        <v>6</v>
      </c>
      <c r="F7" s="423"/>
      <c r="G7" s="268">
        <f>'ENC SOCIAIS'!F52</f>
        <v>1.1446999999999998</v>
      </c>
      <c r="H7" s="251"/>
      <c r="I7" s="304"/>
      <c r="J7" s="452"/>
    </row>
    <row r="8" spans="1:14" customFormat="1">
      <c r="A8" s="424" t="s">
        <v>7</v>
      </c>
      <c r="B8" s="423"/>
      <c r="C8" s="423"/>
      <c r="D8" s="267">
        <f>'BDI - FORNECIMENTO'!C35:C35</f>
        <v>0.13814793469122955</v>
      </c>
      <c r="E8" s="423"/>
      <c r="F8" s="423"/>
      <c r="G8" s="268"/>
      <c r="H8" s="251"/>
      <c r="I8" s="304"/>
      <c r="J8" s="452"/>
    </row>
    <row r="9" spans="1:14" ht="15.75">
      <c r="A9" s="269" t="s">
        <v>8</v>
      </c>
      <c r="B9" s="425" t="s">
        <v>9</v>
      </c>
      <c r="C9" s="425"/>
      <c r="D9" s="425"/>
      <c r="E9" s="270"/>
      <c r="F9" s="270"/>
      <c r="G9" s="271"/>
      <c r="H9" s="271"/>
      <c r="I9" s="271"/>
      <c r="J9" s="452"/>
    </row>
    <row r="10" spans="1:14" ht="18">
      <c r="A10" s="426" t="s">
        <v>10</v>
      </c>
      <c r="B10" s="427"/>
      <c r="C10" s="427"/>
      <c r="D10" s="428"/>
      <c r="E10" s="427"/>
      <c r="F10" s="427"/>
      <c r="G10" s="429"/>
      <c r="H10" s="429"/>
      <c r="I10" s="430"/>
      <c r="J10" s="305">
        <v>2.76E-2</v>
      </c>
    </row>
    <row r="11" spans="1:14" ht="38.25">
      <c r="A11" s="272" t="s">
        <v>11</v>
      </c>
      <c r="B11" s="273" t="s">
        <v>12</v>
      </c>
      <c r="C11" s="273" t="s">
        <v>13</v>
      </c>
      <c r="D11" s="274" t="s">
        <v>14</v>
      </c>
      <c r="E11" s="275" t="s">
        <v>15</v>
      </c>
      <c r="F11" s="276" t="s">
        <v>16</v>
      </c>
      <c r="G11" s="277" t="s">
        <v>17</v>
      </c>
      <c r="H11" s="277" t="s">
        <v>18</v>
      </c>
      <c r="I11" s="306" t="s">
        <v>19</v>
      </c>
      <c r="J11" s="307" t="s">
        <v>20</v>
      </c>
    </row>
    <row r="12" spans="1:14" s="246" customFormat="1">
      <c r="A12" s="278">
        <v>1</v>
      </c>
      <c r="B12" s="279"/>
      <c r="C12" s="280"/>
      <c r="D12" s="281" t="s">
        <v>21</v>
      </c>
      <c r="E12" s="431"/>
      <c r="F12" s="432"/>
      <c r="G12" s="432"/>
      <c r="H12" s="432"/>
      <c r="I12" s="432"/>
      <c r="J12" s="433"/>
    </row>
    <row r="13" spans="1:14">
      <c r="A13" s="282" t="s">
        <v>22</v>
      </c>
      <c r="B13" s="283" t="s">
        <v>23</v>
      </c>
      <c r="C13" s="284" t="s">
        <v>24</v>
      </c>
      <c r="D13" s="285" t="s">
        <v>25</v>
      </c>
      <c r="E13" s="286" t="s">
        <v>26</v>
      </c>
      <c r="F13" s="287">
        <v>1</v>
      </c>
      <c r="G13" s="288">
        <f>H13/(1+$D$7)</f>
        <v>17979.846299552675</v>
      </c>
      <c r="H13" s="288">
        <f>(('CPU 01 - SERVIÇOS PRELIMINARES'!H19))</f>
        <v>22473.96</v>
      </c>
      <c r="I13" s="308">
        <f>H13*F13</f>
        <v>22473.96</v>
      </c>
      <c r="J13" s="309">
        <f t="shared" ref="J13:J19" si="0">ROUND(I13*(1+$J$10),2)</f>
        <v>23094.240000000002</v>
      </c>
      <c r="K13" s="310"/>
      <c r="N13" s="248">
        <f>I13/3</f>
        <v>7491.32</v>
      </c>
    </row>
    <row r="14" spans="1:14" ht="18" customHeight="1">
      <c r="A14" s="282" t="s">
        <v>27</v>
      </c>
      <c r="B14" s="289" t="s">
        <v>28</v>
      </c>
      <c r="C14" s="290">
        <v>10775</v>
      </c>
      <c r="D14" s="285" t="s">
        <v>29</v>
      </c>
      <c r="E14" s="286" t="s">
        <v>30</v>
      </c>
      <c r="F14" s="291">
        <v>6</v>
      </c>
      <c r="G14" s="288">
        <v>870</v>
      </c>
      <c r="H14" s="288">
        <f>ROUND(G14*(1+$D$7),2)</f>
        <v>1087.46</v>
      </c>
      <c r="I14" s="311">
        <f t="shared" ref="I14:I15" si="1">ROUND(F14*H14,2)</f>
        <v>6524.76</v>
      </c>
      <c r="J14" s="309">
        <f t="shared" ref="J14:J15" si="2">ROUND(I14*(1+$J$9),2)</f>
        <v>6524.76</v>
      </c>
      <c r="K14" s="310"/>
    </row>
    <row r="15" spans="1:14" ht="18" customHeight="1">
      <c r="A15" s="282" t="s">
        <v>31</v>
      </c>
      <c r="B15" s="289" t="s">
        <v>32</v>
      </c>
      <c r="C15" s="290">
        <v>4299</v>
      </c>
      <c r="D15" s="285" t="s">
        <v>33</v>
      </c>
      <c r="E15" s="286" t="s">
        <v>30</v>
      </c>
      <c r="F15" s="291">
        <v>6</v>
      </c>
      <c r="G15" s="288">
        <v>654.41999999999996</v>
      </c>
      <c r="H15" s="288">
        <f>ROUND(G15*(1+$D$7),2)</f>
        <v>817.99</v>
      </c>
      <c r="I15" s="311">
        <f t="shared" si="1"/>
        <v>4907.9399999999996</v>
      </c>
      <c r="J15" s="309">
        <f t="shared" si="2"/>
        <v>4907.9399999999996</v>
      </c>
      <c r="K15" s="310"/>
    </row>
    <row r="16" spans="1:14">
      <c r="A16" s="282" t="s">
        <v>34</v>
      </c>
      <c r="B16" s="283" t="s">
        <v>23</v>
      </c>
      <c r="C16" s="284" t="s">
        <v>35</v>
      </c>
      <c r="D16" s="285" t="s">
        <v>36</v>
      </c>
      <c r="E16" s="286" t="s">
        <v>37</v>
      </c>
      <c r="F16" s="291">
        <v>1</v>
      </c>
      <c r="G16" s="288">
        <f>'CPU 01 - SERVIÇOS PRELIMINARES'!H27</f>
        <v>2720.2000000000003</v>
      </c>
      <c r="H16" s="288">
        <f>ROUND(G16*(1+$D$7),2)</f>
        <v>3400.12</v>
      </c>
      <c r="I16" s="308">
        <f t="shared" ref="I16:I19" si="3">H16*F16</f>
        <v>3400.12</v>
      </c>
      <c r="J16" s="309">
        <f t="shared" si="0"/>
        <v>3493.96</v>
      </c>
      <c r="L16" s="250"/>
    </row>
    <row r="17" spans="1:16">
      <c r="A17" s="282" t="s">
        <v>38</v>
      </c>
      <c r="B17" s="283" t="s">
        <v>23</v>
      </c>
      <c r="C17" s="284" t="s">
        <v>35</v>
      </c>
      <c r="D17" s="285" t="s">
        <v>39</v>
      </c>
      <c r="E17" s="286" t="s">
        <v>37</v>
      </c>
      <c r="F17" s="291">
        <v>1</v>
      </c>
      <c r="G17" s="288">
        <f>'CPU 01 - SERVIÇOS PRELIMINARES'!H27</f>
        <v>2720.2000000000003</v>
      </c>
      <c r="H17" s="288">
        <f>ROUND(G17*(1+$D$7),2)</f>
        <v>3400.12</v>
      </c>
      <c r="I17" s="308">
        <f t="shared" si="3"/>
        <v>3400.12</v>
      </c>
      <c r="J17" s="309">
        <f t="shared" si="0"/>
        <v>3493.96</v>
      </c>
      <c r="L17" s="250"/>
    </row>
    <row r="18" spans="1:16">
      <c r="A18" s="282" t="s">
        <v>40</v>
      </c>
      <c r="B18" s="283" t="s">
        <v>23</v>
      </c>
      <c r="C18" s="284" t="s">
        <v>41</v>
      </c>
      <c r="D18" s="285" t="s">
        <v>42</v>
      </c>
      <c r="E18" s="286" t="s">
        <v>43</v>
      </c>
      <c r="F18" s="291">
        <v>6.48</v>
      </c>
      <c r="G18" s="288">
        <f>H18/(1+$D$7)</f>
        <v>376.38219922468278</v>
      </c>
      <c r="H18" s="288">
        <f>'CPU 01 - SERVIÇOS PRELIMINARES'!H44</f>
        <v>470.46</v>
      </c>
      <c r="I18" s="308">
        <f t="shared" si="3"/>
        <v>3048.5808000000002</v>
      </c>
      <c r="J18" s="309">
        <f t="shared" si="0"/>
        <v>3132.72</v>
      </c>
      <c r="L18" s="250"/>
    </row>
    <row r="19" spans="1:16">
      <c r="A19" s="282" t="s">
        <v>44</v>
      </c>
      <c r="B19" s="283" t="s">
        <v>32</v>
      </c>
      <c r="C19" s="284">
        <v>2548</v>
      </c>
      <c r="D19" s="285" t="s">
        <v>45</v>
      </c>
      <c r="E19" s="286" t="s">
        <v>43</v>
      </c>
      <c r="F19" s="291">
        <v>4266</v>
      </c>
      <c r="G19" s="288">
        <v>1.32</v>
      </c>
      <c r="H19" s="288">
        <f>ROUND(G19*(1+$D$7),2)</f>
        <v>1.65</v>
      </c>
      <c r="I19" s="308">
        <f t="shared" si="3"/>
        <v>7038.9</v>
      </c>
      <c r="J19" s="309">
        <f t="shared" si="0"/>
        <v>7233.17</v>
      </c>
      <c r="L19" s="250"/>
    </row>
    <row r="20" spans="1:16" ht="15">
      <c r="A20" s="440"/>
      <c r="B20" s="441"/>
      <c r="C20" s="441"/>
      <c r="D20" s="442"/>
      <c r="E20" s="443" t="s">
        <v>46</v>
      </c>
      <c r="F20" s="443"/>
      <c r="G20" s="444"/>
      <c r="H20" s="444"/>
      <c r="I20" s="312">
        <f>SUM(I13:I19)</f>
        <v>50794.380800000014</v>
      </c>
      <c r="J20" s="313">
        <f>SUM(J13:J19)</f>
        <v>51880.75</v>
      </c>
      <c r="N20" s="248">
        <f>SUM(N13:N18)</f>
        <v>7491.32</v>
      </c>
    </row>
    <row r="21" spans="1:16" s="246" customFormat="1">
      <c r="A21" s="278">
        <v>2</v>
      </c>
      <c r="B21" s="279"/>
      <c r="C21" s="280"/>
      <c r="D21" s="281" t="s">
        <v>47</v>
      </c>
      <c r="E21" s="431"/>
      <c r="F21" s="432"/>
      <c r="G21" s="432"/>
      <c r="H21" s="432"/>
      <c r="I21" s="432"/>
      <c r="J21" s="433"/>
    </row>
    <row r="22" spans="1:16" ht="38.25">
      <c r="A22" s="282" t="s">
        <v>48</v>
      </c>
      <c r="B22" s="283" t="s">
        <v>28</v>
      </c>
      <c r="C22" s="284">
        <v>98525</v>
      </c>
      <c r="D22" s="285" t="s">
        <v>49</v>
      </c>
      <c r="E22" s="286" t="s">
        <v>43</v>
      </c>
      <c r="F22" s="291">
        <v>4266</v>
      </c>
      <c r="G22" s="288">
        <v>0.42</v>
      </c>
      <c r="H22" s="288">
        <f>ROUND(G22*(1+$D$7),2)</f>
        <v>0.52</v>
      </c>
      <c r="I22" s="308">
        <f>ROUND(F22*H22,2)</f>
        <v>2218.3200000000002</v>
      </c>
      <c r="J22" s="309">
        <f t="shared" ref="J22:J31" si="4">ROUND(I22*(1+$J$10),2)</f>
        <v>2279.5500000000002</v>
      </c>
      <c r="P22" s="248" t="str">
        <f>LOWER(D22)</f>
        <v>limpeza mecanizada de camada vegetal, vegetação e pequenas árvores (diâmetro de tronco menor que 0,20 m), com trator de esteiras.af_05/2018</v>
      </c>
    </row>
    <row r="23" spans="1:16" ht="15">
      <c r="A23" s="440"/>
      <c r="B23" s="441"/>
      <c r="C23" s="441"/>
      <c r="D23" s="442"/>
      <c r="E23" s="443" t="s">
        <v>50</v>
      </c>
      <c r="F23" s="443"/>
      <c r="G23" s="444"/>
      <c r="H23" s="444"/>
      <c r="I23" s="312">
        <f>SUM(I22:I22)</f>
        <v>2218.3200000000002</v>
      </c>
      <c r="J23" s="313">
        <f>SUM(J22:J22)</f>
        <v>2279.5500000000002</v>
      </c>
    </row>
    <row r="24" spans="1:16" s="246" customFormat="1">
      <c r="A24" s="278">
        <v>3</v>
      </c>
      <c r="B24" s="279"/>
      <c r="C24" s="280"/>
      <c r="D24" s="281" t="s">
        <v>51</v>
      </c>
      <c r="E24" s="431"/>
      <c r="F24" s="432"/>
      <c r="G24" s="432"/>
      <c r="H24" s="432"/>
      <c r="I24" s="432"/>
      <c r="J24" s="433"/>
      <c r="L24" s="314"/>
      <c r="M24" s="314"/>
      <c r="N24" s="314">
        <f>N20/I20</f>
        <v>0.14748324287083342</v>
      </c>
    </row>
    <row r="25" spans="1:16" s="247" customFormat="1">
      <c r="A25" s="292" t="s">
        <v>52</v>
      </c>
      <c r="B25" s="293" t="s">
        <v>53</v>
      </c>
      <c r="C25" s="293"/>
      <c r="D25" s="294"/>
      <c r="E25" s="437"/>
      <c r="F25" s="438"/>
      <c r="G25" s="438"/>
      <c r="H25" s="438"/>
      <c r="I25" s="438"/>
      <c r="J25" s="439"/>
    </row>
    <row r="26" spans="1:16" ht="25.5">
      <c r="A26" s="282" t="s">
        <v>54</v>
      </c>
      <c r="B26" s="283" t="s">
        <v>28</v>
      </c>
      <c r="C26" s="284">
        <v>101127</v>
      </c>
      <c r="D26" s="285" t="s">
        <v>55</v>
      </c>
      <c r="E26" s="286" t="s">
        <v>56</v>
      </c>
      <c r="F26" s="291">
        <f>'Memória de cálculo'!E12</f>
        <v>337.6</v>
      </c>
      <c r="G26" s="288">
        <v>12.16</v>
      </c>
      <c r="H26" s="288">
        <f t="shared" ref="H26:H31" si="5">ROUND(G26*(1+$D$7),2)</f>
        <v>15.2</v>
      </c>
      <c r="I26" s="308">
        <f>ROUND(F26*H26,2)</f>
        <v>5131.5200000000004</v>
      </c>
      <c r="J26" s="309">
        <f t="shared" si="4"/>
        <v>5273.15</v>
      </c>
    </row>
    <row r="27" spans="1:16" ht="25.5">
      <c r="A27" s="282" t="s">
        <v>57</v>
      </c>
      <c r="B27" s="283" t="s">
        <v>28</v>
      </c>
      <c r="C27" s="284">
        <v>101132</v>
      </c>
      <c r="D27" s="285" t="s">
        <v>58</v>
      </c>
      <c r="E27" s="286" t="s">
        <v>56</v>
      </c>
      <c r="F27" s="291">
        <f>'Memória de cálculo'!E13</f>
        <v>84.4</v>
      </c>
      <c r="G27" s="288">
        <v>15.47</v>
      </c>
      <c r="H27" s="288">
        <f t="shared" si="5"/>
        <v>19.34</v>
      </c>
      <c r="I27" s="308">
        <f t="shared" ref="I27:I31" si="6">ROUND(F27*H27,2)</f>
        <v>1632.3</v>
      </c>
      <c r="J27" s="309">
        <f t="shared" si="4"/>
        <v>1677.35</v>
      </c>
    </row>
    <row r="28" spans="1:16" ht="51">
      <c r="A28" s="282" t="s">
        <v>59</v>
      </c>
      <c r="B28" s="283" t="s">
        <v>28</v>
      </c>
      <c r="C28" s="284">
        <v>101230</v>
      </c>
      <c r="D28" s="285" t="s">
        <v>60</v>
      </c>
      <c r="E28" s="286" t="s">
        <v>56</v>
      </c>
      <c r="F28" s="291">
        <f>'Memória de cálculo'!E14</f>
        <v>3701.11</v>
      </c>
      <c r="G28" s="288">
        <v>8.9</v>
      </c>
      <c r="H28" s="288">
        <f t="shared" si="5"/>
        <v>11.12</v>
      </c>
      <c r="I28" s="308">
        <f t="shared" si="6"/>
        <v>41156.339999999997</v>
      </c>
      <c r="J28" s="309">
        <f t="shared" si="4"/>
        <v>42292.25</v>
      </c>
    </row>
    <row r="29" spans="1:16" ht="25.5">
      <c r="A29" s="282" t="s">
        <v>61</v>
      </c>
      <c r="B29" s="283" t="s">
        <v>32</v>
      </c>
      <c r="C29" s="284">
        <v>2522</v>
      </c>
      <c r="D29" s="285" t="s">
        <v>62</v>
      </c>
      <c r="E29" s="286" t="s">
        <v>56</v>
      </c>
      <c r="F29" s="291">
        <f>'Memória de cálculo'!E15</f>
        <v>3331</v>
      </c>
      <c r="G29" s="288">
        <v>3.98</v>
      </c>
      <c r="H29" s="288">
        <f t="shared" si="5"/>
        <v>4.97</v>
      </c>
      <c r="I29" s="308">
        <f t="shared" si="6"/>
        <v>16555.07</v>
      </c>
      <c r="J29" s="309">
        <f t="shared" si="4"/>
        <v>17011.990000000002</v>
      </c>
    </row>
    <row r="30" spans="1:16" ht="25.5">
      <c r="A30" s="282" t="s">
        <v>63</v>
      </c>
      <c r="B30" s="283" t="s">
        <v>64</v>
      </c>
      <c r="C30" s="284">
        <v>2003373</v>
      </c>
      <c r="D30" s="285" t="s">
        <v>65</v>
      </c>
      <c r="E30" s="286" t="s">
        <v>66</v>
      </c>
      <c r="F30" s="291">
        <f>'Memória de cálculo'!E16</f>
        <v>136</v>
      </c>
      <c r="G30" s="288">
        <v>25.3</v>
      </c>
      <c r="H30" s="288">
        <f t="shared" si="5"/>
        <v>31.62</v>
      </c>
      <c r="I30" s="308">
        <f t="shared" si="6"/>
        <v>4300.32</v>
      </c>
      <c r="J30" s="309">
        <f t="shared" si="4"/>
        <v>4419.01</v>
      </c>
    </row>
    <row r="31" spans="1:16" ht="25.5">
      <c r="A31" s="282" t="s">
        <v>67</v>
      </c>
      <c r="B31" s="283" t="s">
        <v>28</v>
      </c>
      <c r="C31" s="284">
        <v>102989</v>
      </c>
      <c r="D31" s="285" t="s">
        <v>68</v>
      </c>
      <c r="E31" s="286" t="s">
        <v>43</v>
      </c>
      <c r="F31" s="291">
        <f>'Memória de cálculo'!E17</f>
        <v>29.52</v>
      </c>
      <c r="G31" s="288">
        <v>32.54</v>
      </c>
      <c r="H31" s="288">
        <f t="shared" si="5"/>
        <v>40.67</v>
      </c>
      <c r="I31" s="308">
        <f t="shared" si="6"/>
        <v>1200.58</v>
      </c>
      <c r="J31" s="309">
        <f t="shared" si="4"/>
        <v>1233.72</v>
      </c>
    </row>
    <row r="32" spans="1:16">
      <c r="A32" s="282" t="s">
        <v>301</v>
      </c>
      <c r="B32" s="320" t="s">
        <v>64</v>
      </c>
      <c r="C32" s="284">
        <v>4015673</v>
      </c>
      <c r="D32" s="321" t="s">
        <v>302</v>
      </c>
      <c r="E32" s="286" t="s">
        <v>43</v>
      </c>
      <c r="F32" s="291">
        <f>'Memória de cálculo'!E18</f>
        <v>143</v>
      </c>
      <c r="G32" s="288">
        <v>6.38</v>
      </c>
      <c r="H32" s="288">
        <f t="shared" ref="H32" si="7">ROUND(G32*(1+$D$7),2)</f>
        <v>7.97</v>
      </c>
      <c r="I32" s="308">
        <f t="shared" ref="I32" si="8">ROUND(F32*H32,2)</f>
        <v>1139.71</v>
      </c>
      <c r="J32" s="309">
        <f t="shared" ref="J32" si="9">ROUND(I32*(1+$J$10),2)</f>
        <v>1171.17</v>
      </c>
    </row>
    <row r="33" spans="1:14" ht="15">
      <c r="A33" s="453"/>
      <c r="B33" s="454"/>
      <c r="C33" s="454"/>
      <c r="D33" s="455"/>
      <c r="E33" s="434" t="s">
        <v>69</v>
      </c>
      <c r="F33" s="435"/>
      <c r="G33" s="435"/>
      <c r="H33" s="436"/>
      <c r="I33" s="316">
        <f>SUM(I26:I32)</f>
        <v>71115.839999999997</v>
      </c>
      <c r="J33" s="316">
        <f>SUM(J26:J32)</f>
        <v>73078.64</v>
      </c>
    </row>
    <row r="34" spans="1:14" s="247" customFormat="1">
      <c r="A34" s="292" t="s">
        <v>70</v>
      </c>
      <c r="B34" s="293" t="s">
        <v>71</v>
      </c>
      <c r="C34" s="293"/>
      <c r="D34" s="294"/>
      <c r="E34" s="437"/>
      <c r="F34" s="438"/>
      <c r="G34" s="438"/>
      <c r="H34" s="438"/>
      <c r="I34" s="438"/>
      <c r="J34" s="439"/>
      <c r="N34" s="247">
        <f>1-M34-K34</f>
        <v>1</v>
      </c>
    </row>
    <row r="35" spans="1:14" ht="25.5">
      <c r="A35" s="282" t="s">
        <v>72</v>
      </c>
      <c r="B35" s="283" t="s">
        <v>28</v>
      </c>
      <c r="C35" s="284">
        <v>101127</v>
      </c>
      <c r="D35" s="285" t="s">
        <v>55</v>
      </c>
      <c r="E35" s="286" t="s">
        <v>56</v>
      </c>
      <c r="F35" s="291">
        <v>259.2</v>
      </c>
      <c r="G35" s="288">
        <v>12.16</v>
      </c>
      <c r="H35" s="288">
        <f>ROUND(G35*(1+$D$7),2)</f>
        <v>15.2</v>
      </c>
      <c r="I35" s="308">
        <f>ROUND(F35*H35,2)</f>
        <v>3939.84</v>
      </c>
      <c r="J35" s="309">
        <f>ROUND(I35*(1+$J$10),2)</f>
        <v>4048.58</v>
      </c>
    </row>
    <row r="36" spans="1:14" ht="25.5">
      <c r="A36" s="282" t="s">
        <v>73</v>
      </c>
      <c r="B36" s="283" t="s">
        <v>28</v>
      </c>
      <c r="C36" s="284">
        <v>101132</v>
      </c>
      <c r="D36" s="285" t="s">
        <v>58</v>
      </c>
      <c r="E36" s="286" t="s">
        <v>56</v>
      </c>
      <c r="F36" s="291">
        <v>64.8</v>
      </c>
      <c r="G36" s="288">
        <v>15.47</v>
      </c>
      <c r="H36" s="288">
        <f>ROUND(G36*(1+$D$7),2)</f>
        <v>19.34</v>
      </c>
      <c r="I36" s="308">
        <f>ROUND(F36*H36,2)</f>
        <v>1253.23</v>
      </c>
      <c r="J36" s="309">
        <f>ROUND(I36*(1+$J$10),2)</f>
        <v>1287.82</v>
      </c>
    </row>
    <row r="37" spans="1:14">
      <c r="A37" s="282" t="s">
        <v>74</v>
      </c>
      <c r="B37" s="283" t="s">
        <v>64</v>
      </c>
      <c r="C37" s="284">
        <v>4805765</v>
      </c>
      <c r="D37" s="285" t="s">
        <v>75</v>
      </c>
      <c r="E37" s="286" t="s">
        <v>56</v>
      </c>
      <c r="F37" s="291">
        <v>15.66</v>
      </c>
      <c r="G37" s="288">
        <v>147.21</v>
      </c>
      <c r="H37" s="288">
        <f>ROUND(G37*(1+$D$7),2)</f>
        <v>184.01</v>
      </c>
      <c r="I37" s="308">
        <f>ROUND(F37*H37,2)</f>
        <v>2881.6</v>
      </c>
      <c r="J37" s="309">
        <f>ROUND(I37*(1+$J$10),2)</f>
        <v>2961.13</v>
      </c>
    </row>
    <row r="38" spans="1:14" ht="38.25">
      <c r="A38" s="282" t="s">
        <v>76</v>
      </c>
      <c r="B38" s="283" t="s">
        <v>32</v>
      </c>
      <c r="C38" s="284">
        <v>93</v>
      </c>
      <c r="D38" s="285" t="s">
        <v>77</v>
      </c>
      <c r="E38" s="286" t="s">
        <v>56</v>
      </c>
      <c r="F38" s="291">
        <v>67.63</v>
      </c>
      <c r="G38" s="288">
        <v>405.53</v>
      </c>
      <c r="H38" s="288">
        <f>ROUND(G38*(1+$D$7),2)</f>
        <v>506.89</v>
      </c>
      <c r="I38" s="308">
        <f>ROUND(F38*H38,2)</f>
        <v>34280.97</v>
      </c>
      <c r="J38" s="309">
        <f>ROUND(I38*(1+$J$10),2)</f>
        <v>35227.120000000003</v>
      </c>
    </row>
    <row r="39" spans="1:14" ht="15">
      <c r="A39" s="440"/>
      <c r="B39" s="441"/>
      <c r="C39" s="441"/>
      <c r="D39" s="442"/>
      <c r="E39" s="443" t="s">
        <v>78</v>
      </c>
      <c r="F39" s="443"/>
      <c r="G39" s="444"/>
      <c r="H39" s="444"/>
      <c r="I39" s="316">
        <f>SUM(I35:I38)</f>
        <v>42355.64</v>
      </c>
      <c r="J39" s="316">
        <f>SUM(J35:J38)</f>
        <v>43524.65</v>
      </c>
    </row>
    <row r="40" spans="1:14" s="247" customFormat="1">
      <c r="A40" s="292" t="s">
        <v>79</v>
      </c>
      <c r="B40" s="293" t="s">
        <v>80</v>
      </c>
      <c r="C40" s="293"/>
      <c r="D40" s="294"/>
      <c r="E40" s="437"/>
      <c r="F40" s="438"/>
      <c r="G40" s="438"/>
      <c r="H40" s="438"/>
      <c r="I40" s="438"/>
      <c r="J40" s="439"/>
      <c r="N40" s="247">
        <f>1-M40-K40</f>
        <v>1</v>
      </c>
    </row>
    <row r="41" spans="1:14" ht="38.25">
      <c r="A41" s="282" t="s">
        <v>81</v>
      </c>
      <c r="B41" s="283" t="s">
        <v>32</v>
      </c>
      <c r="C41" s="284">
        <v>6457</v>
      </c>
      <c r="D41" s="285" t="s">
        <v>82</v>
      </c>
      <c r="E41" s="286" t="s">
        <v>56</v>
      </c>
      <c r="F41" s="291">
        <v>0.5</v>
      </c>
      <c r="G41" s="288">
        <v>85.92</v>
      </c>
      <c r="H41" s="288">
        <v>2508.69</v>
      </c>
      <c r="I41" s="308">
        <f>ROUND(F41*H41,2)</f>
        <v>1254.3499999999999</v>
      </c>
      <c r="J41" s="309">
        <f>ROUND(I41*(1+$J$10),2)</f>
        <v>1288.97</v>
      </c>
    </row>
    <row r="42" spans="1:14" ht="25.5">
      <c r="A42" s="282" t="s">
        <v>83</v>
      </c>
      <c r="B42" s="283" t="s">
        <v>32</v>
      </c>
      <c r="C42" s="284">
        <v>5427</v>
      </c>
      <c r="D42" s="285" t="s">
        <v>84</v>
      </c>
      <c r="E42" s="286" t="s">
        <v>66</v>
      </c>
      <c r="F42" s="291">
        <v>37.75</v>
      </c>
      <c r="G42" s="288">
        <v>368.79</v>
      </c>
      <c r="H42" s="288">
        <f>ROUND(G42*(1+$D$8),2)</f>
        <v>419.74</v>
      </c>
      <c r="I42" s="308">
        <f>ROUND(F42*H42,2)</f>
        <v>15845.19</v>
      </c>
      <c r="J42" s="309">
        <f>ROUND(I42*(1+$J$10),2)</f>
        <v>16282.52</v>
      </c>
    </row>
    <row r="43" spans="1:14" ht="25.5">
      <c r="A43" s="282" t="s">
        <v>85</v>
      </c>
      <c r="B43" s="283" t="s">
        <v>28</v>
      </c>
      <c r="C43" s="284">
        <v>97142</v>
      </c>
      <c r="D43" s="285" t="s">
        <v>86</v>
      </c>
      <c r="E43" s="286" t="s">
        <v>56</v>
      </c>
      <c r="F43" s="291">
        <v>37.75</v>
      </c>
      <c r="G43" s="288">
        <v>11.03</v>
      </c>
      <c r="H43" s="288">
        <f>ROUND(G43*(1+$D$7),2)</f>
        <v>13.79</v>
      </c>
      <c r="I43" s="308">
        <f>ROUND(F43*H43,2)</f>
        <v>520.57000000000005</v>
      </c>
      <c r="J43" s="309">
        <f>ROUND(I43*(1+$J$10),2)</f>
        <v>534.94000000000005</v>
      </c>
    </row>
    <row r="44" spans="1:14">
      <c r="A44" s="282" t="s">
        <v>87</v>
      </c>
      <c r="B44" s="283" t="s">
        <v>28</v>
      </c>
      <c r="C44" s="284">
        <v>94501</v>
      </c>
      <c r="D44" s="285" t="s">
        <v>88</v>
      </c>
      <c r="E44" s="286" t="s">
        <v>37</v>
      </c>
      <c r="F44" s="291">
        <v>1</v>
      </c>
      <c r="G44" s="288">
        <v>647.49</v>
      </c>
      <c r="H44" s="288">
        <f>ROUND(G44*(1+$D$7),2)</f>
        <v>809.33</v>
      </c>
      <c r="I44" s="308">
        <f>ROUND(F44*H44,2)</f>
        <v>809.33</v>
      </c>
      <c r="J44" s="309">
        <f>ROUND(I44*(1+$J$10),2)</f>
        <v>831.67</v>
      </c>
    </row>
    <row r="45" spans="1:14" ht="15">
      <c r="A45" s="440"/>
      <c r="B45" s="441"/>
      <c r="C45" s="441"/>
      <c r="D45" s="442"/>
      <c r="E45" s="443" t="s">
        <v>89</v>
      </c>
      <c r="F45" s="443"/>
      <c r="G45" s="444"/>
      <c r="H45" s="444"/>
      <c r="I45" s="315">
        <f>SUM(I41:I44)</f>
        <v>18429.440000000002</v>
      </c>
      <c r="J45" s="315">
        <f>SUM(J41:J44)</f>
        <v>18938.099999999999</v>
      </c>
    </row>
    <row r="46" spans="1:14" ht="15">
      <c r="A46" s="440"/>
      <c r="B46" s="441"/>
      <c r="C46" s="441"/>
      <c r="D46" s="442"/>
      <c r="E46" s="443" t="s">
        <v>90</v>
      </c>
      <c r="F46" s="443"/>
      <c r="G46" s="444"/>
      <c r="H46" s="444"/>
      <c r="I46" s="312">
        <f>I33+I39+I45</f>
        <v>131900.91999999998</v>
      </c>
      <c r="J46" s="312">
        <f>J33+J39+J45</f>
        <v>135541.39000000001</v>
      </c>
      <c r="K46" s="247"/>
      <c r="M46" s="247"/>
    </row>
    <row r="47" spans="1:14" s="246" customFormat="1">
      <c r="A47" s="278">
        <v>4</v>
      </c>
      <c r="B47" s="295"/>
      <c r="C47" s="279"/>
      <c r="D47" s="281" t="s">
        <v>91</v>
      </c>
      <c r="E47" s="431"/>
      <c r="F47" s="432"/>
      <c r="G47" s="432"/>
      <c r="H47" s="432"/>
      <c r="I47" s="432"/>
      <c r="J47" s="433"/>
    </row>
    <row r="48" spans="1:14" ht="38.25">
      <c r="A48" s="282" t="s">
        <v>92</v>
      </c>
      <c r="B48" s="283" t="s">
        <v>28</v>
      </c>
      <c r="C48" s="284">
        <v>98525</v>
      </c>
      <c r="D48" s="285" t="s">
        <v>49</v>
      </c>
      <c r="E48" s="286" t="s">
        <v>43</v>
      </c>
      <c r="F48" s="291">
        <v>2000</v>
      </c>
      <c r="G48" s="288">
        <v>0.42</v>
      </c>
      <c r="H48" s="288">
        <f t="shared" ref="H48:H49" si="10">ROUND(G48*(1+$D$7),2)</f>
        <v>0.52</v>
      </c>
      <c r="I48" s="308">
        <f>ROUND(F48*H48,2)</f>
        <v>1040</v>
      </c>
      <c r="J48" s="309">
        <f t="shared" ref="J48:J51" si="11">ROUND(I48*(1+$J$10),2)</f>
        <v>1068.7</v>
      </c>
    </row>
    <row r="49" spans="1:14" ht="25.5">
      <c r="A49" s="282" t="s">
        <v>93</v>
      </c>
      <c r="B49" s="283" t="s">
        <v>28</v>
      </c>
      <c r="C49" s="284">
        <v>101127</v>
      </c>
      <c r="D49" s="285" t="s">
        <v>55</v>
      </c>
      <c r="E49" s="286" t="s">
        <v>56</v>
      </c>
      <c r="F49" s="291">
        <v>2133.2600000000002</v>
      </c>
      <c r="G49" s="288">
        <v>12.16</v>
      </c>
      <c r="H49" s="288">
        <f t="shared" si="10"/>
        <v>15.2</v>
      </c>
      <c r="I49" s="308">
        <f t="shared" ref="I49:I51" si="12">ROUND(F49*H49,2)</f>
        <v>32425.55</v>
      </c>
      <c r="J49" s="309">
        <f t="shared" si="11"/>
        <v>33320.5</v>
      </c>
      <c r="N49" s="248" t="str">
        <f>LOWER(D49)</f>
        <v>escavação horizontal, incluindo carga e descarga em solo de 1a. categoria com trator de esteira (347 hp com lâmina 8,7 m³)</v>
      </c>
    </row>
    <row r="50" spans="1:14" ht="25.5">
      <c r="A50" s="282" t="s">
        <v>94</v>
      </c>
      <c r="B50" s="283" t="s">
        <v>28</v>
      </c>
      <c r="C50" s="284">
        <v>97912</v>
      </c>
      <c r="D50" s="285" t="s">
        <v>95</v>
      </c>
      <c r="E50" s="286" t="s">
        <v>96</v>
      </c>
      <c r="F50" s="291">
        <f>1939.33*1.2</f>
        <v>2327.1959999999999</v>
      </c>
      <c r="G50" s="288">
        <v>2.96</v>
      </c>
      <c r="H50" s="288">
        <f t="shared" ref="H50:H51" si="13">ROUND(G50*(1+$D$7),2)</f>
        <v>3.7</v>
      </c>
      <c r="I50" s="308">
        <f t="shared" si="12"/>
        <v>8610.6299999999992</v>
      </c>
      <c r="J50" s="309">
        <f t="shared" si="11"/>
        <v>8848.2800000000007</v>
      </c>
    </row>
    <row r="51" spans="1:14">
      <c r="A51" s="282" t="s">
        <v>97</v>
      </c>
      <c r="B51" s="283" t="s">
        <v>64</v>
      </c>
      <c r="C51" s="284">
        <v>4413942</v>
      </c>
      <c r="D51" s="285" t="s">
        <v>98</v>
      </c>
      <c r="E51" s="286" t="s">
        <v>56</v>
      </c>
      <c r="F51" s="291">
        <v>1939.33</v>
      </c>
      <c r="G51" s="288">
        <v>1.26</v>
      </c>
      <c r="H51" s="288">
        <f t="shared" si="13"/>
        <v>1.57</v>
      </c>
      <c r="I51" s="308">
        <f t="shared" si="12"/>
        <v>3044.75</v>
      </c>
      <c r="J51" s="309">
        <f t="shared" si="11"/>
        <v>3128.79</v>
      </c>
    </row>
    <row r="52" spans="1:14" ht="15">
      <c r="A52" s="440"/>
      <c r="B52" s="441"/>
      <c r="C52" s="441"/>
      <c r="D52" s="442"/>
      <c r="E52" s="443" t="s">
        <v>99</v>
      </c>
      <c r="F52" s="443"/>
      <c r="G52" s="444"/>
      <c r="H52" s="444"/>
      <c r="I52" s="312">
        <f>SUM(I48:I51)</f>
        <v>45120.93</v>
      </c>
      <c r="J52" s="312">
        <f>SUM(J48:J51)</f>
        <v>46366.27</v>
      </c>
    </row>
    <row r="53" spans="1:14">
      <c r="A53" s="296"/>
      <c r="B53" s="297"/>
      <c r="C53" s="297"/>
      <c r="D53" s="298"/>
      <c r="E53" s="299"/>
      <c r="F53" s="299"/>
      <c r="G53" s="300"/>
      <c r="H53" s="300"/>
      <c r="I53" s="317"/>
      <c r="J53" s="318"/>
    </row>
    <row r="54" spans="1:14" ht="18">
      <c r="A54" s="445"/>
      <c r="B54" s="446"/>
      <c r="C54" s="446"/>
      <c r="D54" s="447"/>
      <c r="E54" s="448" t="s">
        <v>100</v>
      </c>
      <c r="F54" s="448"/>
      <c r="G54" s="449"/>
      <c r="H54" s="450"/>
      <c r="I54" s="319">
        <f>SUM(I20+I23+I46+I53+I52)</f>
        <v>230034.5508</v>
      </c>
      <c r="J54" s="319">
        <f>SUM(J20+J23+J46+J53+J52)</f>
        <v>236067.96</v>
      </c>
    </row>
  </sheetData>
  <mergeCells count="34">
    <mergeCell ref="A54:D54"/>
    <mergeCell ref="E54:H54"/>
    <mergeCell ref="J1:J9"/>
    <mergeCell ref="A33:D33"/>
    <mergeCell ref="A46:D46"/>
    <mergeCell ref="E46:H46"/>
    <mergeCell ref="E47:J47"/>
    <mergeCell ref="A52:D52"/>
    <mergeCell ref="E52:H52"/>
    <mergeCell ref="A39:D39"/>
    <mergeCell ref="E39:H39"/>
    <mergeCell ref="E40:J40"/>
    <mergeCell ref="A45:D45"/>
    <mergeCell ref="E45:H45"/>
    <mergeCell ref="E24:J24"/>
    <mergeCell ref="E25:J25"/>
    <mergeCell ref="E33:H33"/>
    <mergeCell ref="E34:J34"/>
    <mergeCell ref="A20:D20"/>
    <mergeCell ref="E20:H20"/>
    <mergeCell ref="E21:J21"/>
    <mergeCell ref="A23:D23"/>
    <mergeCell ref="E23:H23"/>
    <mergeCell ref="A8:C8"/>
    <mergeCell ref="E8:F8"/>
    <mergeCell ref="B9:D9"/>
    <mergeCell ref="A10:I10"/>
    <mergeCell ref="E12:J12"/>
    <mergeCell ref="D1:I1"/>
    <mergeCell ref="D2:I2"/>
    <mergeCell ref="D3:I3"/>
    <mergeCell ref="A5:I5"/>
    <mergeCell ref="A7:C7"/>
    <mergeCell ref="E7:F7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J31"/>
  <sheetViews>
    <sheetView showGridLines="0" tabSelected="1" view="pageBreakPreview" zoomScaleNormal="100" zoomScaleSheetLayoutView="100" workbookViewId="0">
      <selection activeCell="I144" sqref="I144"/>
    </sheetView>
  </sheetViews>
  <sheetFormatPr defaultColWidth="9" defaultRowHeight="12.75"/>
  <cols>
    <col min="2" max="2" width="52.42578125" customWidth="1"/>
    <col min="3" max="3" width="22.28515625" customWidth="1"/>
    <col min="4" max="9" width="18.7109375" customWidth="1"/>
    <col min="10" max="10" width="11.28515625" customWidth="1"/>
  </cols>
  <sheetData>
    <row r="1" spans="1:10" s="181" customFormat="1" ht="15.75" customHeight="1">
      <c r="A1" s="216"/>
      <c r="B1" s="456" t="s">
        <v>101</v>
      </c>
      <c r="C1" s="456"/>
      <c r="D1" s="456"/>
      <c r="E1" s="456"/>
      <c r="F1" s="456"/>
      <c r="G1" s="456"/>
      <c r="H1" s="456"/>
      <c r="I1" s="456"/>
    </row>
    <row r="2" spans="1:10" s="181" customFormat="1" ht="15.75" customHeight="1">
      <c r="A2" s="217"/>
      <c r="B2" s="456" t="s">
        <v>102</v>
      </c>
      <c r="C2" s="456"/>
      <c r="D2" s="456"/>
      <c r="E2" s="456"/>
      <c r="F2" s="456"/>
      <c r="G2" s="456"/>
      <c r="H2" s="456"/>
      <c r="I2" s="456"/>
    </row>
    <row r="3" spans="1:10" s="181" customFormat="1" ht="15.75" customHeight="1">
      <c r="A3" s="217"/>
      <c r="B3" s="456" t="s">
        <v>103</v>
      </c>
      <c r="C3" s="456"/>
      <c r="D3" s="456"/>
      <c r="E3" s="456"/>
      <c r="F3" s="456"/>
      <c r="G3" s="456"/>
      <c r="H3" s="456"/>
      <c r="I3" s="456"/>
    </row>
    <row r="4" spans="1:10" ht="12.75" customHeight="1">
      <c r="A4" s="155"/>
      <c r="B4" s="156"/>
      <c r="C4" s="218"/>
      <c r="D4" s="218"/>
      <c r="E4" s="156"/>
      <c r="F4" s="218"/>
      <c r="G4" s="156"/>
      <c r="H4" s="218"/>
      <c r="I4" s="156"/>
    </row>
    <row r="5" spans="1:10" s="182" customFormat="1" ht="39.75" customHeight="1">
      <c r="A5" s="457" t="str">
        <f>'Planilha - BARRAGEM'!A5:I5</f>
        <v>EXECUÇÃO DE OBRAS E SERVIÇOS PARA CONSTRUÇÃO DE BARRAGENS DE TERRA VISANDO ATENDER AS COMUNIDADES DA LAPINHA E MONTE ALTO NO MUNICÍPIO DE ANAGÉ, NO ESTADO DA BAHIA, NA ÁREA DE ATUAÇÃO DA 2ª SUPERINTENDÊNCIA REGIONAL</v>
      </c>
      <c r="B5" s="458"/>
      <c r="C5" s="458"/>
      <c r="D5" s="458"/>
      <c r="E5" s="458"/>
      <c r="F5" s="458"/>
      <c r="G5" s="458"/>
      <c r="H5" s="458"/>
      <c r="I5" s="458"/>
    </row>
    <row r="6" spans="1:10" ht="15">
      <c r="A6" s="219"/>
      <c r="B6" s="220"/>
      <c r="C6" s="221"/>
      <c r="D6" s="221"/>
      <c r="E6" s="222"/>
      <c r="F6" s="221"/>
      <c r="G6" s="222"/>
      <c r="H6" s="221"/>
      <c r="I6" s="222"/>
    </row>
    <row r="7" spans="1:10" ht="20.25">
      <c r="A7" s="459" t="s">
        <v>104</v>
      </c>
      <c r="B7" s="460"/>
      <c r="C7" s="460"/>
      <c r="D7" s="460"/>
      <c r="E7" s="460"/>
      <c r="F7" s="460"/>
      <c r="G7" s="460"/>
      <c r="H7" s="460"/>
      <c r="I7" s="460"/>
    </row>
    <row r="8" spans="1:10">
      <c r="A8" s="178"/>
      <c r="B8" s="179"/>
      <c r="C8" s="223"/>
      <c r="D8" s="223"/>
      <c r="E8" s="179"/>
      <c r="F8" s="223"/>
      <c r="G8" s="179"/>
      <c r="H8" s="223"/>
      <c r="I8" s="179"/>
    </row>
    <row r="9" spans="1:10" ht="12.75" customHeight="1">
      <c r="A9" s="461" t="s">
        <v>105</v>
      </c>
      <c r="B9" s="461" t="s">
        <v>106</v>
      </c>
      <c r="C9" s="461" t="s">
        <v>107</v>
      </c>
      <c r="D9" s="461" t="s">
        <v>108</v>
      </c>
      <c r="E9" s="461" t="s">
        <v>109</v>
      </c>
      <c r="F9" s="461" t="s">
        <v>110</v>
      </c>
      <c r="G9" s="461" t="s">
        <v>111</v>
      </c>
      <c r="H9" s="461" t="s">
        <v>112</v>
      </c>
      <c r="I9" s="461" t="s">
        <v>113</v>
      </c>
    </row>
    <row r="10" spans="1:10" ht="12.75" customHeight="1">
      <c r="A10" s="461"/>
      <c r="B10" s="461"/>
      <c r="C10" s="461"/>
      <c r="D10" s="461"/>
      <c r="E10" s="461"/>
      <c r="F10" s="461"/>
      <c r="G10" s="461"/>
      <c r="H10" s="461"/>
      <c r="I10" s="461"/>
    </row>
    <row r="11" spans="1:10" ht="15.75">
      <c r="A11" s="224">
        <f>'Planilha - BARRAGEM'!A12</f>
        <v>1</v>
      </c>
      <c r="B11" s="224" t="str">
        <f>'Planilha - BARRAGEM'!D12</f>
        <v>SERVIÇOS PRELIMINARES</v>
      </c>
      <c r="C11" s="225">
        <f>'Planilha - BARRAGEM'!J20</f>
        <v>51880.75</v>
      </c>
      <c r="D11" s="226">
        <f>C11*0.38</f>
        <v>19714.685000000001</v>
      </c>
      <c r="E11" s="226">
        <v>5837.0287500000004</v>
      </c>
      <c r="F11" s="226">
        <f>C11*0.1125</f>
        <v>5836.5843750000004</v>
      </c>
      <c r="G11" s="226">
        <f>C11*0.1125</f>
        <v>5836.5843750000004</v>
      </c>
      <c r="H11" s="226">
        <f>C11*0.1125</f>
        <v>5836.5843750000004</v>
      </c>
      <c r="I11" s="226">
        <f>C11*0.17</f>
        <v>8819.7275000000009</v>
      </c>
      <c r="J11" s="244">
        <f t="shared" ref="J11:J25" si="0">SUM(D11:I11)</f>
        <v>51881.194374999999</v>
      </c>
    </row>
    <row r="12" spans="1:10" ht="15.75">
      <c r="A12" s="224"/>
      <c r="B12" s="227"/>
      <c r="C12" s="228"/>
      <c r="D12" s="229">
        <f t="shared" ref="D12:I12" si="1">D11/$C$11</f>
        <v>0.38</v>
      </c>
      <c r="E12" s="229">
        <f t="shared" si="1"/>
        <v>0.11250856531565177</v>
      </c>
      <c r="F12" s="229">
        <f t="shared" si="1"/>
        <v>0.1125</v>
      </c>
      <c r="G12" s="229">
        <f t="shared" si="1"/>
        <v>0.1125</v>
      </c>
      <c r="H12" s="229">
        <f t="shared" si="1"/>
        <v>0.1125</v>
      </c>
      <c r="I12" s="229">
        <f t="shared" si="1"/>
        <v>0.17</v>
      </c>
      <c r="J12" s="245">
        <f t="shared" si="0"/>
        <v>1.0000085653156519</v>
      </c>
    </row>
    <row r="13" spans="1:10" ht="15.75">
      <c r="A13" s="224">
        <f>'Planilha - BARRAGEM'!A21</f>
        <v>2</v>
      </c>
      <c r="B13" s="224" t="str">
        <f>'Planilha - BARRAGEM'!D21</f>
        <v>LIMPEZA DA ÁREA DA BACIA HIDRÁULICA</v>
      </c>
      <c r="C13" s="225">
        <f>'Planilha - BARRAGEM'!J23</f>
        <v>2279.5500000000002</v>
      </c>
      <c r="D13" s="226">
        <f>C13*1</f>
        <v>2279.5500000000002</v>
      </c>
      <c r="E13" s="230">
        <f>$C$13*0</f>
        <v>0</v>
      </c>
      <c r="F13" s="230">
        <f t="shared" ref="F13:I13" si="2">$C$13*0</f>
        <v>0</v>
      </c>
      <c r="G13" s="230">
        <f t="shared" si="2"/>
        <v>0</v>
      </c>
      <c r="H13" s="230">
        <f t="shared" si="2"/>
        <v>0</v>
      </c>
      <c r="I13" s="230">
        <f t="shared" si="2"/>
        <v>0</v>
      </c>
      <c r="J13" s="244">
        <f t="shared" si="0"/>
        <v>2279.5500000000002</v>
      </c>
    </row>
    <row r="14" spans="1:10" ht="15.75">
      <c r="A14" s="224"/>
      <c r="B14" s="227"/>
      <c r="C14" s="225"/>
      <c r="D14" s="229">
        <f>D13/$C$13</f>
        <v>1</v>
      </c>
      <c r="E14" s="229">
        <f>E13/$C$13</f>
        <v>0</v>
      </c>
      <c r="F14" s="229">
        <f t="shared" ref="F14:I14" si="3">F13/$C$13</f>
        <v>0</v>
      </c>
      <c r="G14" s="229">
        <f t="shared" si="3"/>
        <v>0</v>
      </c>
      <c r="H14" s="229">
        <f t="shared" si="3"/>
        <v>0</v>
      </c>
      <c r="I14" s="229">
        <f t="shared" si="3"/>
        <v>0</v>
      </c>
      <c r="J14" s="245">
        <f t="shared" si="0"/>
        <v>1</v>
      </c>
    </row>
    <row r="15" spans="1:10" ht="15.75">
      <c r="A15" s="224">
        <f>'Planilha - BARRAGEM'!A24</f>
        <v>3</v>
      </c>
      <c r="B15" s="224" t="str">
        <f>'Planilha - BARRAGEM'!D24</f>
        <v>BARRAGEM - LAPINHA</v>
      </c>
      <c r="C15" s="225">
        <f>'Planilha - BARRAGEM'!J46</f>
        <v>135541.39000000001</v>
      </c>
      <c r="D15" s="226">
        <f t="shared" ref="D15:I15" si="4">D17+D19+D21</f>
        <v>14615.728000000001</v>
      </c>
      <c r="E15" s="226">
        <f t="shared" si="4"/>
        <v>30063.677</v>
      </c>
      <c r="F15" s="226">
        <f t="shared" si="4"/>
        <v>41724.006000000001</v>
      </c>
      <c r="G15" s="226">
        <f t="shared" si="4"/>
        <v>19800.414000000001</v>
      </c>
      <c r="H15" s="226">
        <f t="shared" si="4"/>
        <v>12492.55</v>
      </c>
      <c r="I15" s="226">
        <f t="shared" si="4"/>
        <v>16845.014999999999</v>
      </c>
      <c r="J15" s="244">
        <f t="shared" si="0"/>
        <v>135541.39000000001</v>
      </c>
    </row>
    <row r="16" spans="1:10" ht="15.75">
      <c r="A16" s="224"/>
      <c r="B16" s="227"/>
      <c r="C16" s="231"/>
      <c r="D16" s="229">
        <f>D15/$C$15</f>
        <v>0.10783221272852521</v>
      </c>
      <c r="E16" s="229">
        <f t="shared" ref="E16:I16" si="5">E15/$C$15</f>
        <v>0.22180440233053531</v>
      </c>
      <c r="F16" s="229">
        <f t="shared" si="5"/>
        <v>0.30783221272852518</v>
      </c>
      <c r="G16" s="229">
        <f t="shared" si="5"/>
        <v>0.14608389363573737</v>
      </c>
      <c r="H16" s="229">
        <f t="shared" si="5"/>
        <v>9.2167787271474774E-2</v>
      </c>
      <c r="I16" s="229">
        <f t="shared" si="5"/>
        <v>0.12427949130520204</v>
      </c>
      <c r="J16" s="245">
        <f t="shared" si="0"/>
        <v>0.99999999999999989</v>
      </c>
    </row>
    <row r="17" spans="1:10" ht="15.75">
      <c r="A17" s="224" t="str">
        <f>'Planilha - BARRAGEM'!A25</f>
        <v>3.1</v>
      </c>
      <c r="B17" s="227" t="str">
        <f>'Planilha - BARRAGEM'!B25</f>
        <v>Maciço do barramento, fundação e drenagem</v>
      </c>
      <c r="C17" s="225">
        <f>'Planilha - BARRAGEM'!J33</f>
        <v>73078.64</v>
      </c>
      <c r="D17" s="226">
        <f>C17*0.2</f>
        <v>14615.728000000001</v>
      </c>
      <c r="E17" s="226">
        <f>C17*0.3</f>
        <v>21923.592000000001</v>
      </c>
      <c r="F17" s="226">
        <f>C17*0.4</f>
        <v>29231.456000000002</v>
      </c>
      <c r="G17" s="226">
        <f>C17*0.1</f>
        <v>7307.8640000000005</v>
      </c>
      <c r="H17" s="226">
        <f>C17*0</f>
        <v>0</v>
      </c>
      <c r="I17" s="226">
        <f>C17*0</f>
        <v>0</v>
      </c>
      <c r="J17" s="244">
        <f t="shared" si="0"/>
        <v>73078.64</v>
      </c>
    </row>
    <row r="18" spans="1:10" ht="15.75">
      <c r="A18" s="232"/>
      <c r="B18" s="232"/>
      <c r="C18" s="231"/>
      <c r="D18" s="229">
        <f>D17/$C$17</f>
        <v>0.2</v>
      </c>
      <c r="E18" s="229">
        <f t="shared" ref="E18:I18" si="6">E17/$C$17</f>
        <v>0.3</v>
      </c>
      <c r="F18" s="229">
        <f t="shared" si="6"/>
        <v>0.4</v>
      </c>
      <c r="G18" s="229">
        <f t="shared" si="6"/>
        <v>0.1</v>
      </c>
      <c r="H18" s="229">
        <f t="shared" si="6"/>
        <v>0</v>
      </c>
      <c r="I18" s="229">
        <f t="shared" si="6"/>
        <v>0</v>
      </c>
      <c r="J18" s="245">
        <f t="shared" si="0"/>
        <v>1</v>
      </c>
    </row>
    <row r="19" spans="1:10" ht="15.75">
      <c r="A19" s="224" t="str">
        <f>'Planilha - BARRAGEM'!A34</f>
        <v>3.2</v>
      </c>
      <c r="B19" s="227" t="str">
        <f>'Planilha - BARRAGEM'!B34</f>
        <v>Sangradouro</v>
      </c>
      <c r="C19" s="225">
        <f>'Planilha - BARRAGEM'!J39</f>
        <v>43524.65</v>
      </c>
      <c r="D19" s="226">
        <f>C19*0</f>
        <v>0</v>
      </c>
      <c r="E19" s="226">
        <f>C19*0.1</f>
        <v>4352.4650000000001</v>
      </c>
      <c r="F19" s="226">
        <f>C19*0.2</f>
        <v>8704.93</v>
      </c>
      <c r="G19" s="226">
        <f>C19*0.2</f>
        <v>8704.93</v>
      </c>
      <c r="H19" s="226">
        <f>C19*0.2</f>
        <v>8704.93</v>
      </c>
      <c r="I19" s="226">
        <f>C19*0.3</f>
        <v>13057.395</v>
      </c>
      <c r="J19" s="244">
        <f t="shared" si="0"/>
        <v>43524.65</v>
      </c>
    </row>
    <row r="20" spans="1:10" ht="15.75">
      <c r="A20" s="232"/>
      <c r="B20" s="232"/>
      <c r="C20" s="233"/>
      <c r="D20" s="229">
        <f>D19/$C$19</f>
        <v>0</v>
      </c>
      <c r="E20" s="229">
        <f t="shared" ref="E20:I20" si="7">E19/$C$19</f>
        <v>0.1</v>
      </c>
      <c r="F20" s="229">
        <f t="shared" si="7"/>
        <v>0.2</v>
      </c>
      <c r="G20" s="229">
        <f t="shared" si="7"/>
        <v>0.2</v>
      </c>
      <c r="H20" s="229">
        <f t="shared" si="7"/>
        <v>0.2</v>
      </c>
      <c r="I20" s="229">
        <f t="shared" si="7"/>
        <v>0.3</v>
      </c>
      <c r="J20" s="245">
        <f t="shared" si="0"/>
        <v>1</v>
      </c>
    </row>
    <row r="21" spans="1:10" ht="15.75">
      <c r="A21" s="224" t="str">
        <f>'Planilha - BARRAGEM'!A40</f>
        <v>3.3</v>
      </c>
      <c r="B21" s="227" t="str">
        <f>'Planilha - BARRAGEM'!B40</f>
        <v>Descarga de fundo</v>
      </c>
      <c r="C21" s="225">
        <f>'Planilha - BARRAGEM'!J45</f>
        <v>18938.099999999999</v>
      </c>
      <c r="D21" s="226">
        <f>C21*0</f>
        <v>0</v>
      </c>
      <c r="E21" s="226">
        <f>C21*0.2</f>
        <v>3787.62</v>
      </c>
      <c r="F21" s="226">
        <f>C21*0.2</f>
        <v>3787.62</v>
      </c>
      <c r="G21" s="226">
        <f>C21*0.2</f>
        <v>3787.62</v>
      </c>
      <c r="H21" s="226">
        <f>C21*0.2</f>
        <v>3787.62</v>
      </c>
      <c r="I21" s="226">
        <f>C21*0.2</f>
        <v>3787.62</v>
      </c>
      <c r="J21" s="244">
        <f t="shared" si="0"/>
        <v>18938.099999999999</v>
      </c>
    </row>
    <row r="22" spans="1:10" ht="15.75">
      <c r="A22" s="232"/>
      <c r="B22" s="232"/>
      <c r="C22" s="233"/>
      <c r="D22" s="229">
        <f>D21/$C$21</f>
        <v>0</v>
      </c>
      <c r="E22" s="229">
        <f t="shared" ref="E22:I22" si="8">E21/$C$21</f>
        <v>0.2</v>
      </c>
      <c r="F22" s="229">
        <f t="shared" si="8"/>
        <v>0.2</v>
      </c>
      <c r="G22" s="229">
        <f t="shared" si="8"/>
        <v>0.2</v>
      </c>
      <c r="H22" s="229">
        <f t="shared" si="8"/>
        <v>0.2</v>
      </c>
      <c r="I22" s="229">
        <f t="shared" si="8"/>
        <v>0.2</v>
      </c>
      <c r="J22" s="245">
        <f t="shared" si="0"/>
        <v>1</v>
      </c>
    </row>
    <row r="23" spans="1:10" ht="15.75">
      <c r="A23" s="224">
        <f>'Planilha - BARRAGEM'!A47</f>
        <v>4</v>
      </c>
      <c r="B23" s="224" t="str">
        <f>'Planilha - BARRAGEM'!D47</f>
        <v xml:space="preserve">BARRAGEM - COMUNIDADE MONTE ALTO </v>
      </c>
      <c r="C23" s="225">
        <f>'Planilha - BARRAGEM'!J52</f>
        <v>46366.27</v>
      </c>
      <c r="D23" s="226">
        <f>C23*0</f>
        <v>0</v>
      </c>
      <c r="E23" s="226">
        <f>C23*0.1</f>
        <v>4636.6269999999995</v>
      </c>
      <c r="F23" s="226">
        <f>C23*0.1</f>
        <v>4636.6269999999995</v>
      </c>
      <c r="G23" s="226">
        <f>C23*0.4</f>
        <v>18546.507999999998</v>
      </c>
      <c r="H23" s="226">
        <f>C23*0.3</f>
        <v>13909.880999999999</v>
      </c>
      <c r="I23" s="226">
        <f>C23*0.1</f>
        <v>4636.6269999999995</v>
      </c>
      <c r="J23" s="244">
        <f t="shared" si="0"/>
        <v>46366.27</v>
      </c>
    </row>
    <row r="24" spans="1:10" ht="15.75">
      <c r="A24" s="224"/>
      <c r="B24" s="227"/>
      <c r="C24" s="228"/>
      <c r="D24" s="229">
        <f>D23/$C$23</f>
        <v>0</v>
      </c>
      <c r="E24" s="229">
        <f t="shared" ref="E24:G24" si="9">E23/$C$23</f>
        <v>9.9999999999999992E-2</v>
      </c>
      <c r="F24" s="229">
        <f t="shared" si="9"/>
        <v>9.9999999999999992E-2</v>
      </c>
      <c r="G24" s="229">
        <f t="shared" si="9"/>
        <v>0.39999999999999997</v>
      </c>
      <c r="H24" s="229">
        <f t="shared" ref="H24" si="10">H23/$C$23</f>
        <v>0.3</v>
      </c>
      <c r="I24" s="229">
        <f t="shared" ref="I24" si="11">I23/$C$23</f>
        <v>9.9999999999999992E-2</v>
      </c>
      <c r="J24" s="245">
        <f t="shared" si="0"/>
        <v>0.99999999999999989</v>
      </c>
    </row>
    <row r="25" spans="1:10" ht="15.75">
      <c r="A25" s="234"/>
      <c r="B25" s="235" t="s">
        <v>114</v>
      </c>
      <c r="C25" s="236">
        <f t="shared" ref="C25:I25" si="12">C11+C13+C15+C23</f>
        <v>236067.96</v>
      </c>
      <c r="D25" s="236">
        <f t="shared" si="12"/>
        <v>36609.963000000003</v>
      </c>
      <c r="E25" s="236">
        <f t="shared" si="12"/>
        <v>40537.332750000001</v>
      </c>
      <c r="F25" s="236">
        <f t="shared" si="12"/>
        <v>52197.217375</v>
      </c>
      <c r="G25" s="236">
        <f t="shared" si="12"/>
        <v>44183.506374999997</v>
      </c>
      <c r="H25" s="236">
        <f t="shared" si="12"/>
        <v>32239.015375000003</v>
      </c>
      <c r="I25" s="236">
        <f t="shared" si="12"/>
        <v>30301.369500000001</v>
      </c>
      <c r="J25" s="244">
        <f t="shared" si="0"/>
        <v>236068.40437500001</v>
      </c>
    </row>
    <row r="26" spans="1:10" ht="15.75">
      <c r="A26" s="234"/>
      <c r="B26" s="235"/>
      <c r="C26" s="462"/>
      <c r="D26" s="237"/>
      <c r="E26" s="237"/>
      <c r="F26" s="237"/>
      <c r="G26" s="237"/>
      <c r="H26" s="237"/>
      <c r="I26" s="237"/>
    </row>
    <row r="27" spans="1:10" ht="15.75">
      <c r="A27" s="238"/>
      <c r="B27" s="239" t="s">
        <v>115</v>
      </c>
      <c r="C27" s="463"/>
      <c r="D27" s="229">
        <f>D25/$C$25</f>
        <v>0.15508230341804963</v>
      </c>
      <c r="E27" s="229">
        <f t="shared" ref="E27:I27" si="13">E25/$C$25</f>
        <v>0.17171890988510258</v>
      </c>
      <c r="F27" s="229">
        <f t="shared" si="13"/>
        <v>0.22111097742785596</v>
      </c>
      <c r="G27" s="229">
        <f t="shared" si="13"/>
        <v>0.18716435036334453</v>
      </c>
      <c r="H27" s="229">
        <f t="shared" si="13"/>
        <v>0.13656667077988899</v>
      </c>
      <c r="I27" s="229">
        <f t="shared" si="13"/>
        <v>0.12835867052860542</v>
      </c>
      <c r="J27" s="245">
        <f>SUM(D27:I27)</f>
        <v>1.0000018824028472</v>
      </c>
    </row>
    <row r="28" spans="1:10" ht="15.75">
      <c r="A28" s="238"/>
      <c r="B28" s="239" t="s">
        <v>116</v>
      </c>
      <c r="C28" s="463"/>
      <c r="D28" s="240">
        <f>D25</f>
        <v>36609.963000000003</v>
      </c>
      <c r="E28" s="240">
        <f>D28+E25</f>
        <v>77147.295750000005</v>
      </c>
      <c r="F28" s="240">
        <f>F25</f>
        <v>52197.217375</v>
      </c>
      <c r="G28" s="240">
        <f>F28+G25</f>
        <v>96380.723750000005</v>
      </c>
      <c r="H28" s="240">
        <f>H25</f>
        <v>32239.015375000003</v>
      </c>
      <c r="I28" s="240">
        <f>H28+I25</f>
        <v>62540.384875000003</v>
      </c>
    </row>
    <row r="29" spans="1:10" ht="15.75">
      <c r="A29" s="238"/>
      <c r="B29" s="239" t="s">
        <v>117</v>
      </c>
      <c r="C29" s="464"/>
      <c r="D29" s="229">
        <f>D27</f>
        <v>0.15508230341804963</v>
      </c>
      <c r="E29" s="229">
        <f>D29+E27</f>
        <v>0.3268012133031522</v>
      </c>
      <c r="F29" s="229">
        <f>E29+F27</f>
        <v>0.54791219073100816</v>
      </c>
      <c r="G29" s="229">
        <f>F29+G27</f>
        <v>0.73507654109435272</v>
      </c>
      <c r="H29" s="229">
        <f>G29+H27</f>
        <v>0.87164321187424165</v>
      </c>
      <c r="I29" s="229">
        <f t="shared" ref="I29" si="14">H29+I27</f>
        <v>1.0000018824028472</v>
      </c>
    </row>
    <row r="30" spans="1:10">
      <c r="A30" s="241"/>
      <c r="B30" s="242"/>
      <c r="C30" s="243"/>
      <c r="D30" s="243"/>
      <c r="E30" s="242"/>
      <c r="F30" s="243"/>
      <c r="G30" s="242"/>
      <c r="H30" s="243"/>
      <c r="I30" s="242"/>
    </row>
    <row r="31" spans="1:10">
      <c r="C31" s="129"/>
      <c r="D31" s="129"/>
      <c r="F31" s="129"/>
      <c r="H31" s="129"/>
    </row>
  </sheetData>
  <mergeCells count="15">
    <mergeCell ref="E9:E10"/>
    <mergeCell ref="F9:F10"/>
    <mergeCell ref="G9:G10"/>
    <mergeCell ref="H9:H10"/>
    <mergeCell ref="I9:I10"/>
    <mergeCell ref="A9:A10"/>
    <mergeCell ref="B9:B10"/>
    <mergeCell ref="C9:C10"/>
    <mergeCell ref="C26:C29"/>
    <mergeCell ref="D9:D10"/>
    <mergeCell ref="B1:I1"/>
    <mergeCell ref="B2:I2"/>
    <mergeCell ref="B3:I3"/>
    <mergeCell ref="A5:I5"/>
    <mergeCell ref="A7:I7"/>
  </mergeCells>
  <pageMargins left="0.511811024" right="0.511811024" top="0.78740157499999996" bottom="0.78740157499999996" header="0.31496062000000002" footer="0.31496062000000002"/>
  <pageSetup paperSize="9" scale="4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177"/>
  <sheetViews>
    <sheetView tabSelected="1" topLeftCell="A100" workbookViewId="0">
      <selection activeCell="I144" sqref="I144"/>
    </sheetView>
  </sheetViews>
  <sheetFormatPr defaultRowHeight="15"/>
  <cols>
    <col min="1" max="1" width="12.7109375" style="330" bestFit="1" customWidth="1"/>
    <col min="2" max="2" width="13" style="330" bestFit="1" customWidth="1"/>
    <col min="3" max="3" width="14.5703125" style="330" bestFit="1" customWidth="1"/>
    <col min="4" max="4" width="12.140625" style="330" bestFit="1" customWidth="1"/>
    <col min="5" max="7" width="8.7109375" style="330" customWidth="1"/>
    <col min="8" max="8" width="11" style="330" customWidth="1"/>
    <col min="9" max="11" width="8.7109375" style="330" customWidth="1"/>
    <col min="12" max="256" width="9.140625" style="330"/>
    <col min="257" max="257" width="5.42578125" style="330" customWidth="1"/>
    <col min="258" max="258" width="8.140625" style="330" customWidth="1"/>
    <col min="259" max="267" width="8.7109375" style="330" customWidth="1"/>
    <col min="268" max="512" width="9.140625" style="330"/>
    <col min="513" max="513" width="5.42578125" style="330" customWidth="1"/>
    <col min="514" max="514" width="8.140625" style="330" customWidth="1"/>
    <col min="515" max="523" width="8.7109375" style="330" customWidth="1"/>
    <col min="524" max="768" width="9.140625" style="330"/>
    <col min="769" max="769" width="5.42578125" style="330" customWidth="1"/>
    <col min="770" max="770" width="8.140625" style="330" customWidth="1"/>
    <col min="771" max="779" width="8.7109375" style="330" customWidth="1"/>
    <col min="780" max="1024" width="9.140625" style="330"/>
    <col min="1025" max="1025" width="5.42578125" style="330" customWidth="1"/>
    <col min="1026" max="1026" width="8.140625" style="330" customWidth="1"/>
    <col min="1027" max="1035" width="8.7109375" style="330" customWidth="1"/>
    <col min="1036" max="1280" width="9.140625" style="330"/>
    <col min="1281" max="1281" width="5.42578125" style="330" customWidth="1"/>
    <col min="1282" max="1282" width="8.140625" style="330" customWidth="1"/>
    <col min="1283" max="1291" width="8.7109375" style="330" customWidth="1"/>
    <col min="1292" max="1536" width="9.140625" style="330"/>
    <col min="1537" max="1537" width="5.42578125" style="330" customWidth="1"/>
    <col min="1538" max="1538" width="8.140625" style="330" customWidth="1"/>
    <col min="1539" max="1547" width="8.7109375" style="330" customWidth="1"/>
    <col min="1548" max="1792" width="9.140625" style="330"/>
    <col min="1793" max="1793" width="5.42578125" style="330" customWidth="1"/>
    <col min="1794" max="1794" width="8.140625" style="330" customWidth="1"/>
    <col min="1795" max="1803" width="8.7109375" style="330" customWidth="1"/>
    <col min="1804" max="2048" width="9.140625" style="330"/>
    <col min="2049" max="2049" width="5.42578125" style="330" customWidth="1"/>
    <col min="2050" max="2050" width="8.140625" style="330" customWidth="1"/>
    <col min="2051" max="2059" width="8.7109375" style="330" customWidth="1"/>
    <col min="2060" max="2304" width="9.140625" style="330"/>
    <col min="2305" max="2305" width="5.42578125" style="330" customWidth="1"/>
    <col min="2306" max="2306" width="8.140625" style="330" customWidth="1"/>
    <col min="2307" max="2315" width="8.7109375" style="330" customWidth="1"/>
    <col min="2316" max="2560" width="9.140625" style="330"/>
    <col min="2561" max="2561" width="5.42578125" style="330" customWidth="1"/>
    <col min="2562" max="2562" width="8.140625" style="330" customWidth="1"/>
    <col min="2563" max="2571" width="8.7109375" style="330" customWidth="1"/>
    <col min="2572" max="2816" width="9.140625" style="330"/>
    <col min="2817" max="2817" width="5.42578125" style="330" customWidth="1"/>
    <col min="2818" max="2818" width="8.140625" style="330" customWidth="1"/>
    <col min="2819" max="2827" width="8.7109375" style="330" customWidth="1"/>
    <col min="2828" max="3072" width="9.140625" style="330"/>
    <col min="3073" max="3073" width="5.42578125" style="330" customWidth="1"/>
    <col min="3074" max="3074" width="8.140625" style="330" customWidth="1"/>
    <col min="3075" max="3083" width="8.7109375" style="330" customWidth="1"/>
    <col min="3084" max="3328" width="9.140625" style="330"/>
    <col min="3329" max="3329" width="5.42578125" style="330" customWidth="1"/>
    <col min="3330" max="3330" width="8.140625" style="330" customWidth="1"/>
    <col min="3331" max="3339" width="8.7109375" style="330" customWidth="1"/>
    <col min="3340" max="3584" width="9.140625" style="330"/>
    <col min="3585" max="3585" width="5.42578125" style="330" customWidth="1"/>
    <col min="3586" max="3586" width="8.140625" style="330" customWidth="1"/>
    <col min="3587" max="3595" width="8.7109375" style="330" customWidth="1"/>
    <col min="3596" max="3840" width="9.140625" style="330"/>
    <col min="3841" max="3841" width="5.42578125" style="330" customWidth="1"/>
    <col min="3842" max="3842" width="8.140625" style="330" customWidth="1"/>
    <col min="3843" max="3851" width="8.7109375" style="330" customWidth="1"/>
    <col min="3852" max="4096" width="9.140625" style="330"/>
    <col min="4097" max="4097" width="5.42578125" style="330" customWidth="1"/>
    <col min="4098" max="4098" width="8.140625" style="330" customWidth="1"/>
    <col min="4099" max="4107" width="8.7109375" style="330" customWidth="1"/>
    <col min="4108" max="4352" width="9.140625" style="330"/>
    <col min="4353" max="4353" width="5.42578125" style="330" customWidth="1"/>
    <col min="4354" max="4354" width="8.140625" style="330" customWidth="1"/>
    <col min="4355" max="4363" width="8.7109375" style="330" customWidth="1"/>
    <col min="4364" max="4608" width="9.140625" style="330"/>
    <col min="4609" max="4609" width="5.42578125" style="330" customWidth="1"/>
    <col min="4610" max="4610" width="8.140625" style="330" customWidth="1"/>
    <col min="4611" max="4619" width="8.7109375" style="330" customWidth="1"/>
    <col min="4620" max="4864" width="9.140625" style="330"/>
    <col min="4865" max="4865" width="5.42578125" style="330" customWidth="1"/>
    <col min="4866" max="4866" width="8.140625" style="330" customWidth="1"/>
    <col min="4867" max="4875" width="8.7109375" style="330" customWidth="1"/>
    <col min="4876" max="5120" width="9.140625" style="330"/>
    <col min="5121" max="5121" width="5.42578125" style="330" customWidth="1"/>
    <col min="5122" max="5122" width="8.140625" style="330" customWidth="1"/>
    <col min="5123" max="5131" width="8.7109375" style="330" customWidth="1"/>
    <col min="5132" max="5376" width="9.140625" style="330"/>
    <col min="5377" max="5377" width="5.42578125" style="330" customWidth="1"/>
    <col min="5378" max="5378" width="8.140625" style="330" customWidth="1"/>
    <col min="5379" max="5387" width="8.7109375" style="330" customWidth="1"/>
    <col min="5388" max="5632" width="9.140625" style="330"/>
    <col min="5633" max="5633" width="5.42578125" style="330" customWidth="1"/>
    <col min="5634" max="5634" width="8.140625" style="330" customWidth="1"/>
    <col min="5635" max="5643" width="8.7109375" style="330" customWidth="1"/>
    <col min="5644" max="5888" width="9.140625" style="330"/>
    <col min="5889" max="5889" width="5.42578125" style="330" customWidth="1"/>
    <col min="5890" max="5890" width="8.140625" style="330" customWidth="1"/>
    <col min="5891" max="5899" width="8.7109375" style="330" customWidth="1"/>
    <col min="5900" max="6144" width="9.140625" style="330"/>
    <col min="6145" max="6145" width="5.42578125" style="330" customWidth="1"/>
    <col min="6146" max="6146" width="8.140625" style="330" customWidth="1"/>
    <col min="6147" max="6155" width="8.7109375" style="330" customWidth="1"/>
    <col min="6156" max="6400" width="9.140625" style="330"/>
    <col min="6401" max="6401" width="5.42578125" style="330" customWidth="1"/>
    <col min="6402" max="6402" width="8.140625" style="330" customWidth="1"/>
    <col min="6403" max="6411" width="8.7109375" style="330" customWidth="1"/>
    <col min="6412" max="6656" width="9.140625" style="330"/>
    <col min="6657" max="6657" width="5.42578125" style="330" customWidth="1"/>
    <col min="6658" max="6658" width="8.140625" style="330" customWidth="1"/>
    <col min="6659" max="6667" width="8.7109375" style="330" customWidth="1"/>
    <col min="6668" max="6912" width="9.140625" style="330"/>
    <col min="6913" max="6913" width="5.42578125" style="330" customWidth="1"/>
    <col min="6914" max="6914" width="8.140625" style="330" customWidth="1"/>
    <col min="6915" max="6923" width="8.7109375" style="330" customWidth="1"/>
    <col min="6924" max="7168" width="9.140625" style="330"/>
    <col min="7169" max="7169" width="5.42578125" style="330" customWidth="1"/>
    <col min="7170" max="7170" width="8.140625" style="330" customWidth="1"/>
    <col min="7171" max="7179" width="8.7109375" style="330" customWidth="1"/>
    <col min="7180" max="7424" width="9.140625" style="330"/>
    <col min="7425" max="7425" width="5.42578125" style="330" customWidth="1"/>
    <col min="7426" max="7426" width="8.140625" style="330" customWidth="1"/>
    <col min="7427" max="7435" width="8.7109375" style="330" customWidth="1"/>
    <col min="7436" max="7680" width="9.140625" style="330"/>
    <col min="7681" max="7681" width="5.42578125" style="330" customWidth="1"/>
    <col min="7682" max="7682" width="8.140625" style="330" customWidth="1"/>
    <col min="7683" max="7691" width="8.7109375" style="330" customWidth="1"/>
    <col min="7692" max="7936" width="9.140625" style="330"/>
    <col min="7937" max="7937" width="5.42578125" style="330" customWidth="1"/>
    <col min="7938" max="7938" width="8.140625" style="330" customWidth="1"/>
    <col min="7939" max="7947" width="8.7109375" style="330" customWidth="1"/>
    <col min="7948" max="8192" width="9.140625" style="330"/>
    <col min="8193" max="8193" width="5.42578125" style="330" customWidth="1"/>
    <col min="8194" max="8194" width="8.140625" style="330" customWidth="1"/>
    <col min="8195" max="8203" width="8.7109375" style="330" customWidth="1"/>
    <col min="8204" max="8448" width="9.140625" style="330"/>
    <col min="8449" max="8449" width="5.42578125" style="330" customWidth="1"/>
    <col min="8450" max="8450" width="8.140625" style="330" customWidth="1"/>
    <col min="8451" max="8459" width="8.7109375" style="330" customWidth="1"/>
    <col min="8460" max="8704" width="9.140625" style="330"/>
    <col min="8705" max="8705" width="5.42578125" style="330" customWidth="1"/>
    <col min="8706" max="8706" width="8.140625" style="330" customWidth="1"/>
    <col min="8707" max="8715" width="8.7109375" style="330" customWidth="1"/>
    <col min="8716" max="8960" width="9.140625" style="330"/>
    <col min="8961" max="8961" width="5.42578125" style="330" customWidth="1"/>
    <col min="8962" max="8962" width="8.140625" style="330" customWidth="1"/>
    <col min="8963" max="8971" width="8.7109375" style="330" customWidth="1"/>
    <col min="8972" max="9216" width="9.140625" style="330"/>
    <col min="9217" max="9217" width="5.42578125" style="330" customWidth="1"/>
    <col min="9218" max="9218" width="8.140625" style="330" customWidth="1"/>
    <col min="9219" max="9227" width="8.7109375" style="330" customWidth="1"/>
    <col min="9228" max="9472" width="9.140625" style="330"/>
    <col min="9473" max="9473" width="5.42578125" style="330" customWidth="1"/>
    <col min="9474" max="9474" width="8.140625" style="330" customWidth="1"/>
    <col min="9475" max="9483" width="8.7109375" style="330" customWidth="1"/>
    <col min="9484" max="9728" width="9.140625" style="330"/>
    <col min="9729" max="9729" width="5.42578125" style="330" customWidth="1"/>
    <col min="9730" max="9730" width="8.140625" style="330" customWidth="1"/>
    <col min="9731" max="9739" width="8.7109375" style="330" customWidth="1"/>
    <col min="9740" max="9984" width="9.140625" style="330"/>
    <col min="9985" max="9985" width="5.42578125" style="330" customWidth="1"/>
    <col min="9986" max="9986" width="8.140625" style="330" customWidth="1"/>
    <col min="9987" max="9995" width="8.7109375" style="330" customWidth="1"/>
    <col min="9996" max="10240" width="9.140625" style="330"/>
    <col min="10241" max="10241" width="5.42578125" style="330" customWidth="1"/>
    <col min="10242" max="10242" width="8.140625" style="330" customWidth="1"/>
    <col min="10243" max="10251" width="8.7109375" style="330" customWidth="1"/>
    <col min="10252" max="10496" width="9.140625" style="330"/>
    <col min="10497" max="10497" width="5.42578125" style="330" customWidth="1"/>
    <col min="10498" max="10498" width="8.140625" style="330" customWidth="1"/>
    <col min="10499" max="10507" width="8.7109375" style="330" customWidth="1"/>
    <col min="10508" max="10752" width="9.140625" style="330"/>
    <col min="10753" max="10753" width="5.42578125" style="330" customWidth="1"/>
    <col min="10754" max="10754" width="8.140625" style="330" customWidth="1"/>
    <col min="10755" max="10763" width="8.7109375" style="330" customWidth="1"/>
    <col min="10764" max="11008" width="9.140625" style="330"/>
    <col min="11009" max="11009" width="5.42578125" style="330" customWidth="1"/>
    <col min="11010" max="11010" width="8.140625" style="330" customWidth="1"/>
    <col min="11011" max="11019" width="8.7109375" style="330" customWidth="1"/>
    <col min="11020" max="11264" width="9.140625" style="330"/>
    <col min="11265" max="11265" width="5.42578125" style="330" customWidth="1"/>
    <col min="11266" max="11266" width="8.140625" style="330" customWidth="1"/>
    <col min="11267" max="11275" width="8.7109375" style="330" customWidth="1"/>
    <col min="11276" max="11520" width="9.140625" style="330"/>
    <col min="11521" max="11521" width="5.42578125" style="330" customWidth="1"/>
    <col min="11522" max="11522" width="8.140625" style="330" customWidth="1"/>
    <col min="11523" max="11531" width="8.7109375" style="330" customWidth="1"/>
    <col min="11532" max="11776" width="9.140625" style="330"/>
    <col min="11777" max="11777" width="5.42578125" style="330" customWidth="1"/>
    <col min="11778" max="11778" width="8.140625" style="330" customWidth="1"/>
    <col min="11779" max="11787" width="8.7109375" style="330" customWidth="1"/>
    <col min="11788" max="12032" width="9.140625" style="330"/>
    <col min="12033" max="12033" width="5.42578125" style="330" customWidth="1"/>
    <col min="12034" max="12034" width="8.140625" style="330" customWidth="1"/>
    <col min="12035" max="12043" width="8.7109375" style="330" customWidth="1"/>
    <col min="12044" max="12288" width="9.140625" style="330"/>
    <col min="12289" max="12289" width="5.42578125" style="330" customWidth="1"/>
    <col min="12290" max="12290" width="8.140625" style="330" customWidth="1"/>
    <col min="12291" max="12299" width="8.7109375" style="330" customWidth="1"/>
    <col min="12300" max="12544" width="9.140625" style="330"/>
    <col min="12545" max="12545" width="5.42578125" style="330" customWidth="1"/>
    <col min="12546" max="12546" width="8.140625" style="330" customWidth="1"/>
    <col min="12547" max="12555" width="8.7109375" style="330" customWidth="1"/>
    <col min="12556" max="12800" width="9.140625" style="330"/>
    <col min="12801" max="12801" width="5.42578125" style="330" customWidth="1"/>
    <col min="12802" max="12802" width="8.140625" style="330" customWidth="1"/>
    <col min="12803" max="12811" width="8.7109375" style="330" customWidth="1"/>
    <col min="12812" max="13056" width="9.140625" style="330"/>
    <col min="13057" max="13057" width="5.42578125" style="330" customWidth="1"/>
    <col min="13058" max="13058" width="8.140625" style="330" customWidth="1"/>
    <col min="13059" max="13067" width="8.7109375" style="330" customWidth="1"/>
    <col min="13068" max="13312" width="9.140625" style="330"/>
    <col min="13313" max="13313" width="5.42578125" style="330" customWidth="1"/>
    <col min="13314" max="13314" width="8.140625" style="330" customWidth="1"/>
    <col min="13315" max="13323" width="8.7109375" style="330" customWidth="1"/>
    <col min="13324" max="13568" width="9.140625" style="330"/>
    <col min="13569" max="13569" width="5.42578125" style="330" customWidth="1"/>
    <col min="13570" max="13570" width="8.140625" style="330" customWidth="1"/>
    <col min="13571" max="13579" width="8.7109375" style="330" customWidth="1"/>
    <col min="13580" max="13824" width="9.140625" style="330"/>
    <col min="13825" max="13825" width="5.42578125" style="330" customWidth="1"/>
    <col min="13826" max="13826" width="8.140625" style="330" customWidth="1"/>
    <col min="13827" max="13835" width="8.7109375" style="330" customWidth="1"/>
    <col min="13836" max="14080" width="9.140625" style="330"/>
    <col min="14081" max="14081" width="5.42578125" style="330" customWidth="1"/>
    <col min="14082" max="14082" width="8.140625" style="330" customWidth="1"/>
    <col min="14083" max="14091" width="8.7109375" style="330" customWidth="1"/>
    <col min="14092" max="14336" width="9.140625" style="330"/>
    <col min="14337" max="14337" width="5.42578125" style="330" customWidth="1"/>
    <col min="14338" max="14338" width="8.140625" style="330" customWidth="1"/>
    <col min="14339" max="14347" width="8.7109375" style="330" customWidth="1"/>
    <col min="14348" max="14592" width="9.140625" style="330"/>
    <col min="14593" max="14593" width="5.42578125" style="330" customWidth="1"/>
    <col min="14594" max="14594" width="8.140625" style="330" customWidth="1"/>
    <col min="14595" max="14603" width="8.7109375" style="330" customWidth="1"/>
    <col min="14604" max="14848" width="9.140625" style="330"/>
    <col min="14849" max="14849" width="5.42578125" style="330" customWidth="1"/>
    <col min="14850" max="14850" width="8.140625" style="330" customWidth="1"/>
    <col min="14851" max="14859" width="8.7109375" style="330" customWidth="1"/>
    <col min="14860" max="15104" width="9.140625" style="330"/>
    <col min="15105" max="15105" width="5.42578125" style="330" customWidth="1"/>
    <col min="15106" max="15106" width="8.140625" style="330" customWidth="1"/>
    <col min="15107" max="15115" width="8.7109375" style="330" customWidth="1"/>
    <col min="15116" max="15360" width="9.140625" style="330"/>
    <col min="15361" max="15361" width="5.42578125" style="330" customWidth="1"/>
    <col min="15362" max="15362" width="8.140625" style="330" customWidth="1"/>
    <col min="15363" max="15371" width="8.7109375" style="330" customWidth="1"/>
    <col min="15372" max="15616" width="9.140625" style="330"/>
    <col min="15617" max="15617" width="5.42578125" style="330" customWidth="1"/>
    <col min="15618" max="15618" width="8.140625" style="330" customWidth="1"/>
    <col min="15619" max="15627" width="8.7109375" style="330" customWidth="1"/>
    <col min="15628" max="15872" width="9.140625" style="330"/>
    <col min="15873" max="15873" width="5.42578125" style="330" customWidth="1"/>
    <col min="15874" max="15874" width="8.140625" style="330" customWidth="1"/>
    <col min="15875" max="15883" width="8.7109375" style="330" customWidth="1"/>
    <col min="15884" max="16128" width="9.140625" style="330"/>
    <col min="16129" max="16129" width="5.42578125" style="330" customWidth="1"/>
    <col min="16130" max="16130" width="8.140625" style="330" customWidth="1"/>
    <col min="16131" max="16139" width="8.7109375" style="330" customWidth="1"/>
    <col min="16140" max="16384" width="9.140625" style="330"/>
  </cols>
  <sheetData>
    <row r="1" spans="1:28" s="181" customFormat="1" ht="15.75" customHeight="1">
      <c r="A1" s="216"/>
      <c r="B1" s="456" t="s">
        <v>101</v>
      </c>
      <c r="C1" s="456"/>
      <c r="D1" s="456"/>
      <c r="E1" s="456"/>
      <c r="F1" s="456"/>
      <c r="G1" s="456"/>
      <c r="H1" s="456"/>
      <c r="I1" s="456"/>
    </row>
    <row r="2" spans="1:28" s="181" customFormat="1" ht="15.75" customHeight="1">
      <c r="A2" s="217"/>
      <c r="B2" s="456" t="s">
        <v>102</v>
      </c>
      <c r="C2" s="456"/>
      <c r="D2" s="456"/>
      <c r="E2" s="456"/>
      <c r="F2" s="456"/>
      <c r="G2" s="456"/>
      <c r="H2" s="456"/>
      <c r="I2" s="456"/>
    </row>
    <row r="3" spans="1:28" s="181" customFormat="1" ht="15.75" customHeight="1">
      <c r="A3" s="217"/>
      <c r="B3" s="456" t="s">
        <v>103</v>
      </c>
      <c r="C3" s="456"/>
      <c r="D3" s="456"/>
      <c r="E3" s="456"/>
      <c r="F3" s="456"/>
      <c r="G3" s="456"/>
      <c r="H3" s="456"/>
      <c r="I3" s="456"/>
    </row>
    <row r="4" spans="1:28" customFormat="1" ht="12.75" customHeight="1">
      <c r="A4" s="155"/>
      <c r="B4" s="156"/>
      <c r="C4" s="218"/>
      <c r="D4" s="218"/>
      <c r="E4" s="156"/>
      <c r="F4" s="218"/>
      <c r="G4" s="156"/>
      <c r="H4" s="218"/>
      <c r="I4" s="156"/>
    </row>
    <row r="5" spans="1:28" s="182" customFormat="1" ht="39.75" customHeight="1">
      <c r="A5" s="457" t="str">
        <f>'Planilha - BARRAGEM'!A5:I5</f>
        <v>EXECUÇÃO DE OBRAS E SERVIÇOS PARA CONSTRUÇÃO DE BARRAGENS DE TERRA VISANDO ATENDER AS COMUNIDADES DA LAPINHA E MONTE ALTO NO MUNICÍPIO DE ANAGÉ, NO ESTADO DA BAHIA, NA ÁREA DE ATUAÇÃO DA 2ª SUPERINTENDÊNCIA REGIONAL</v>
      </c>
      <c r="B5" s="458"/>
      <c r="C5" s="458"/>
      <c r="D5" s="458"/>
      <c r="E5" s="458"/>
      <c r="F5" s="458"/>
      <c r="G5" s="458"/>
      <c r="H5" s="458"/>
      <c r="I5" s="458"/>
    </row>
    <row r="6" spans="1:28" customFormat="1">
      <c r="A6" s="219"/>
      <c r="B6" s="220"/>
      <c r="C6" s="221"/>
      <c r="D6" s="221"/>
      <c r="E6" s="222"/>
      <c r="F6" s="221"/>
      <c r="G6" s="222"/>
      <c r="H6" s="221"/>
      <c r="I6" s="222"/>
    </row>
    <row r="7" spans="1:28" s="156" customFormat="1" ht="16.5">
      <c r="A7" s="469" t="s">
        <v>343</v>
      </c>
      <c r="B7" s="469"/>
      <c r="C7" s="469"/>
      <c r="D7" s="469"/>
      <c r="E7" s="469"/>
      <c r="F7" s="469"/>
      <c r="G7" s="469"/>
      <c r="H7" s="473"/>
      <c r="I7" s="468"/>
      <c r="J7" s="468"/>
      <c r="R7" s="468"/>
      <c r="S7" s="468"/>
      <c r="T7" s="468"/>
      <c r="U7" s="468"/>
      <c r="V7" s="468"/>
      <c r="W7" s="468"/>
      <c r="X7" s="468"/>
      <c r="Y7" s="468"/>
      <c r="Z7" s="468"/>
      <c r="AA7" s="468"/>
      <c r="AB7" s="468"/>
    </row>
    <row r="8" spans="1:28" s="156" customFormat="1" ht="12.75">
      <c r="A8"/>
      <c r="C8" s="385"/>
      <c r="D8" s="373"/>
      <c r="E8" s="385"/>
      <c r="H8" s="473"/>
      <c r="I8" s="395"/>
      <c r="J8" s="395"/>
      <c r="K8" s="395"/>
      <c r="L8" s="395"/>
      <c r="M8" s="395"/>
      <c r="N8" s="395"/>
      <c r="O8" s="396"/>
      <c r="P8" s="395"/>
      <c r="Q8" s="395"/>
    </row>
    <row r="9" spans="1:28" s="156" customFormat="1" ht="74.25" customHeight="1">
      <c r="A9" s="470" t="s">
        <v>344</v>
      </c>
      <c r="B9" s="470"/>
      <c r="C9" s="470"/>
      <c r="D9" s="470"/>
      <c r="E9" s="470"/>
      <c r="F9" s="470"/>
      <c r="G9" s="470"/>
      <c r="H9" s="395"/>
      <c r="I9" s="395"/>
      <c r="J9" s="395"/>
      <c r="K9" s="395"/>
      <c r="L9" s="395"/>
      <c r="M9" s="395"/>
      <c r="N9" s="395"/>
      <c r="O9" s="396"/>
      <c r="P9" s="395"/>
      <c r="Q9" s="395"/>
      <c r="S9" s="395"/>
      <c r="T9" s="395"/>
      <c r="U9" s="395"/>
      <c r="V9" s="395"/>
      <c r="W9" s="395"/>
      <c r="Y9" s="395"/>
      <c r="Z9" s="395"/>
      <c r="AA9" s="395"/>
      <c r="AB9" s="395"/>
    </row>
    <row r="10" spans="1:28" customFormat="1" ht="12.75">
      <c r="C10" s="385"/>
      <c r="D10" s="373"/>
      <c r="E10" s="385"/>
    </row>
    <row r="11" spans="1:28" customFormat="1" ht="15.75">
      <c r="A11" s="465" t="s">
        <v>345</v>
      </c>
      <c r="B11" s="465"/>
      <c r="C11" s="465"/>
      <c r="D11" s="465"/>
      <c r="E11" s="465"/>
      <c r="F11" s="465"/>
      <c r="G11" s="465"/>
    </row>
    <row r="12" spans="1:28" customFormat="1" ht="12.75">
      <c r="C12" s="385"/>
      <c r="D12" s="382"/>
      <c r="E12" s="385"/>
    </row>
    <row r="13" spans="1:28" customFormat="1">
      <c r="A13" s="398" t="s">
        <v>346</v>
      </c>
      <c r="C13" s="385"/>
      <c r="D13" s="373"/>
      <c r="E13" s="385"/>
    </row>
    <row r="14" spans="1:28" customFormat="1">
      <c r="A14" s="398"/>
      <c r="C14" s="385"/>
      <c r="D14" s="385"/>
      <c r="E14" s="385"/>
    </row>
    <row r="15" spans="1:28" customFormat="1" ht="18.75">
      <c r="A15" s="465" t="s">
        <v>381</v>
      </c>
      <c r="B15" s="465"/>
      <c r="C15" s="465"/>
      <c r="D15" s="465"/>
      <c r="E15" s="385"/>
    </row>
    <row r="16" spans="1:28" customFormat="1" ht="15.75">
      <c r="A16" s="399"/>
      <c r="C16" s="385"/>
      <c r="D16" s="385"/>
      <c r="E16" s="385"/>
    </row>
    <row r="17" spans="1:7" customFormat="1" ht="15" customHeight="1">
      <c r="A17" s="465" t="s">
        <v>382</v>
      </c>
      <c r="B17" s="465"/>
      <c r="C17" s="465"/>
      <c r="D17" s="465"/>
      <c r="E17" s="465"/>
    </row>
    <row r="18" spans="1:7" customFormat="1" ht="15.75">
      <c r="A18" s="399"/>
      <c r="C18" s="385"/>
      <c r="D18" s="385"/>
      <c r="E18" s="385"/>
    </row>
    <row r="19" spans="1:7" customFormat="1" ht="15" customHeight="1">
      <c r="A19" s="465" t="s">
        <v>383</v>
      </c>
      <c r="B19" s="465"/>
      <c r="C19" s="465"/>
      <c r="D19" s="465"/>
      <c r="E19" s="465"/>
      <c r="F19" s="465"/>
    </row>
    <row r="20" spans="1:7" customFormat="1" ht="12.75">
      <c r="C20" s="385"/>
      <c r="D20" s="385"/>
      <c r="E20" s="385"/>
    </row>
    <row r="21" spans="1:7" customFormat="1" ht="12.75">
      <c r="A21" t="s">
        <v>347</v>
      </c>
      <c r="C21" s="385"/>
      <c r="D21" s="385"/>
      <c r="E21" s="385"/>
    </row>
    <row r="22" spans="1:7" customFormat="1" ht="18.75">
      <c r="A22" s="399" t="s">
        <v>384</v>
      </c>
      <c r="D22" s="391"/>
      <c r="E22" s="385"/>
    </row>
    <row r="23" spans="1:7" customFormat="1" ht="15.75">
      <c r="A23" s="399" t="s">
        <v>385</v>
      </c>
      <c r="C23" s="385"/>
      <c r="D23" s="385"/>
      <c r="E23" s="385"/>
    </row>
    <row r="24" spans="1:7" customFormat="1" ht="15.75">
      <c r="A24" s="399" t="s">
        <v>386</v>
      </c>
      <c r="C24" s="385"/>
      <c r="D24" s="385"/>
      <c r="E24" s="385"/>
    </row>
    <row r="25" spans="1:7" customFormat="1" ht="15.75">
      <c r="A25" s="399" t="s">
        <v>387</v>
      </c>
      <c r="C25" s="385"/>
      <c r="D25" s="385"/>
      <c r="E25" s="385"/>
    </row>
    <row r="26" spans="1:7" customFormat="1" ht="15.75">
      <c r="A26" s="399" t="s">
        <v>388</v>
      </c>
      <c r="C26" s="385"/>
      <c r="D26" s="385"/>
      <c r="E26" s="385"/>
    </row>
    <row r="27" spans="1:7" customFormat="1" ht="15.75">
      <c r="A27" s="399" t="s">
        <v>389</v>
      </c>
      <c r="C27" s="385"/>
      <c r="D27" s="385"/>
      <c r="E27" s="385"/>
    </row>
    <row r="28" spans="1:7" customFormat="1" ht="15.75">
      <c r="A28" s="399" t="s">
        <v>390</v>
      </c>
      <c r="C28" s="385"/>
      <c r="D28" s="385"/>
      <c r="E28" s="385"/>
    </row>
    <row r="29" spans="1:7" customFormat="1" ht="12.75">
      <c r="C29" s="385"/>
      <c r="D29" s="385"/>
      <c r="E29" s="385"/>
    </row>
    <row r="30" spans="1:7" customFormat="1" ht="15.75">
      <c r="A30" s="465" t="s">
        <v>348</v>
      </c>
      <c r="B30" s="465"/>
      <c r="C30" s="465"/>
      <c r="D30" s="465"/>
      <c r="E30" s="465"/>
      <c r="F30" s="465"/>
      <c r="G30" s="465"/>
    </row>
    <row r="31" spans="1:7" customFormat="1">
      <c r="A31" s="398"/>
      <c r="C31" s="385"/>
      <c r="D31" s="385"/>
      <c r="E31" s="385"/>
    </row>
    <row r="32" spans="1:7" customFormat="1">
      <c r="A32" s="398" t="s">
        <v>349</v>
      </c>
      <c r="C32" s="385"/>
      <c r="D32" s="385"/>
      <c r="E32" s="385"/>
    </row>
    <row r="33" spans="1:8" customFormat="1">
      <c r="A33" s="398"/>
      <c r="C33" s="385"/>
      <c r="D33" s="385"/>
      <c r="E33" s="385"/>
    </row>
    <row r="34" spans="1:8" customFormat="1" ht="18.75">
      <c r="A34" s="465" t="s">
        <v>391</v>
      </c>
      <c r="B34" s="465"/>
      <c r="C34" s="465"/>
      <c r="D34" s="465"/>
      <c r="E34" s="465"/>
    </row>
    <row r="35" spans="1:8" customFormat="1">
      <c r="A35" s="400" t="s">
        <v>350</v>
      </c>
      <c r="C35" s="385"/>
      <c r="D35" s="385"/>
      <c r="E35" s="385"/>
    </row>
    <row r="36" spans="1:8" customFormat="1" ht="18.75">
      <c r="A36" s="465" t="s">
        <v>392</v>
      </c>
      <c r="B36" s="465"/>
      <c r="C36" s="465"/>
      <c r="D36" s="465"/>
      <c r="E36" s="465"/>
    </row>
    <row r="37" spans="1:8" customFormat="1">
      <c r="D37" s="398"/>
    </row>
    <row r="38" spans="1:8" customFormat="1">
      <c r="A38" s="398" t="s">
        <v>347</v>
      </c>
      <c r="D38" s="398"/>
    </row>
    <row r="39" spans="1:8" customFormat="1" ht="32.25" customHeight="1">
      <c r="A39" s="466" t="s">
        <v>393</v>
      </c>
      <c r="B39" s="466"/>
      <c r="C39" s="466"/>
      <c r="D39" s="466"/>
      <c r="E39" s="466"/>
      <c r="F39" s="466"/>
      <c r="G39" s="466"/>
    </row>
    <row r="40" spans="1:8" customFormat="1" ht="18.75" customHeight="1">
      <c r="A40" s="466" t="s">
        <v>394</v>
      </c>
      <c r="B40" s="466"/>
      <c r="C40" s="466"/>
      <c r="D40" s="466"/>
      <c r="E40" s="466"/>
      <c r="F40" s="466"/>
      <c r="G40" s="466"/>
    </row>
    <row r="41" spans="1:8" customFormat="1" ht="12.75">
      <c r="A41" s="466"/>
      <c r="B41" s="466"/>
      <c r="C41" s="466"/>
      <c r="D41" s="466"/>
      <c r="E41" s="466"/>
      <c r="F41" s="466"/>
      <c r="G41" s="466"/>
    </row>
    <row r="42" spans="1:8" customFormat="1">
      <c r="D42" s="398"/>
    </row>
    <row r="43" spans="1:8" customFormat="1" ht="19.5" customHeight="1">
      <c r="A43" s="467" t="s">
        <v>395</v>
      </c>
      <c r="B43" s="467"/>
      <c r="C43" s="467"/>
      <c r="D43" s="467"/>
      <c r="E43" s="467"/>
      <c r="F43" s="467"/>
      <c r="G43" s="467"/>
      <c r="H43" s="401"/>
    </row>
    <row r="44" spans="1:8" customFormat="1" ht="15.75">
      <c r="A44" s="467"/>
      <c r="B44" s="467"/>
      <c r="C44" s="467"/>
      <c r="D44" s="467"/>
      <c r="E44" s="467"/>
      <c r="F44" s="467"/>
      <c r="G44" s="467"/>
      <c r="H44" s="401"/>
    </row>
    <row r="45" spans="1:8" customFormat="1" ht="15.75">
      <c r="A45" s="465" t="str">
        <f>CONCATENATE("Vesc = ",INT([3]PROJ!E10)," metros cúbicos")</f>
        <v>Vesc = 210930 metros cúbicos</v>
      </c>
      <c r="B45" s="465"/>
      <c r="C45" s="465"/>
      <c r="D45" s="465"/>
      <c r="E45" s="465"/>
      <c r="F45" s="465"/>
    </row>
    <row r="46" spans="1:8" customFormat="1" ht="15.75">
      <c r="A46" s="465" t="str">
        <f>CONCATENATE("Qx = ",INT([3]PROJ!E29)," metros cúbicos/seg")</f>
        <v>Qx = 35 metros cúbicos/seg</v>
      </c>
      <c r="B46" s="465"/>
      <c r="C46" s="465"/>
      <c r="D46" s="465"/>
      <c r="E46" s="465"/>
      <c r="F46" s="465"/>
    </row>
    <row r="47" spans="1:8" customFormat="1" ht="15.75">
      <c r="A47" s="397"/>
      <c r="B47" s="397"/>
      <c r="C47" s="397"/>
      <c r="D47" s="397"/>
      <c r="E47" s="397"/>
      <c r="F47" s="397"/>
    </row>
    <row r="48" spans="1:8" s="371" customFormat="1" ht="20.100000000000001" customHeight="1" thickBot="1">
      <c r="A48" s="394" t="s">
        <v>315</v>
      </c>
      <c r="B48" s="394"/>
      <c r="C48" s="394"/>
      <c r="D48" s="394"/>
      <c r="E48" s="394"/>
      <c r="F48"/>
      <c r="G48"/>
    </row>
    <row r="49" spans="1:8" s="371" customFormat="1" ht="20.100000000000001" customHeight="1" thickTop="1">
      <c r="A49" s="372"/>
      <c r="B49" s="372"/>
      <c r="C49" s="372"/>
      <c r="D49" s="372"/>
      <c r="E49" s="372"/>
      <c r="F49" s="373"/>
      <c r="G49"/>
    </row>
    <row r="50" spans="1:8" s="371" customFormat="1" ht="20.100000000000001" customHeight="1">
      <c r="A50" s="393" t="s">
        <v>316</v>
      </c>
      <c r="B50" s="374" t="str">
        <f>[3]DADOS!F5</f>
        <v>ANAGÉ</v>
      </c>
      <c r="C50" s="375" t="s">
        <v>318</v>
      </c>
      <c r="D50" s="376" t="str">
        <f>[3]DADOS!F6</f>
        <v>LAPINHA</v>
      </c>
      <c r="E50" s="372"/>
      <c r="F50" s="373"/>
      <c r="G50"/>
    </row>
    <row r="51" spans="1:8" s="371" customFormat="1" ht="20.100000000000001" customHeight="1">
      <c r="F51" s="373"/>
      <c r="G51"/>
    </row>
    <row r="52" spans="1:8" s="371" customFormat="1">
      <c r="A52" s="472" t="s">
        <v>320</v>
      </c>
      <c r="B52" s="472"/>
      <c r="C52" s="472"/>
      <c r="E52" s="377" t="str">
        <f>[3]DADOS!F15</f>
        <v>Riacho de Tercilio</v>
      </c>
      <c r="F52" s="373"/>
      <c r="H52" s="378"/>
    </row>
    <row r="53" spans="1:8" s="371" customFormat="1">
      <c r="A53" s="479" t="s">
        <v>321</v>
      </c>
      <c r="B53" s="479"/>
      <c r="C53" s="479"/>
      <c r="E53" s="377"/>
      <c r="F53" s="373"/>
      <c r="H53" s="378"/>
    </row>
    <row r="54" spans="1:8" s="371" customFormat="1">
      <c r="A54" s="471" t="s">
        <v>322</v>
      </c>
      <c r="B54" s="471"/>
      <c r="C54" s="471"/>
      <c r="D54" s="379"/>
      <c r="E54" s="380">
        <f>[3]DADOS!K25</f>
        <v>600</v>
      </c>
      <c r="F54" s="373"/>
    </row>
    <row r="55" spans="1:8" s="371" customFormat="1" ht="18" customHeight="1">
      <c r="A55" s="471" t="s">
        <v>374</v>
      </c>
      <c r="B55" s="471"/>
      <c r="C55" s="471"/>
      <c r="D55" s="379"/>
      <c r="E55" s="381">
        <f>[3]DADOS!K24</f>
        <v>4.45</v>
      </c>
      <c r="F55" s="382"/>
    </row>
    <row r="56" spans="1:8" s="371" customFormat="1" ht="15.75">
      <c r="A56" s="471" t="s">
        <v>375</v>
      </c>
      <c r="B56" s="471"/>
      <c r="C56" s="471"/>
      <c r="D56" s="379"/>
      <c r="E56" s="381">
        <f>[3]MACRO!B14*0.1+[3]MACRO!B15*0.5+[3]MACRO!B16</f>
        <v>2.5499999999999998</v>
      </c>
      <c r="F56" s="382"/>
    </row>
    <row r="57" spans="1:8" s="371" customFormat="1" ht="18" customHeight="1">
      <c r="A57" s="471" t="s">
        <v>376</v>
      </c>
      <c r="B57" s="471"/>
      <c r="C57" s="471"/>
      <c r="D57" s="379"/>
      <c r="E57" s="383">
        <f>([3]DADOS!K24*[3]DADOS!D54*[3]DADOS!K38*[3]DADOS!L39*[3]DADOS!K40)*EXP(0.0033*([3]DADOS!K25-600))*1000</f>
        <v>210930.00000000003</v>
      </c>
      <c r="F57" s="373"/>
    </row>
    <row r="58" spans="1:8" s="371" customFormat="1">
      <c r="A58" s="471" t="s">
        <v>377</v>
      </c>
      <c r="B58" s="471"/>
      <c r="C58" s="471"/>
      <c r="D58" s="379"/>
      <c r="E58" s="384">
        <f>[3]DADOS!K37</f>
        <v>30568.17</v>
      </c>
      <c r="F58" s="385"/>
    </row>
    <row r="59" spans="1:8" s="371" customFormat="1">
      <c r="A59" s="472" t="s">
        <v>323</v>
      </c>
      <c r="B59" s="472"/>
      <c r="C59" s="472"/>
      <c r="D59" s="386"/>
      <c r="E59" s="380" t="s">
        <v>324</v>
      </c>
      <c r="F59" s="385"/>
    </row>
    <row r="60" spans="1:8" s="371" customFormat="1">
      <c r="A60" s="471" t="s">
        <v>325</v>
      </c>
      <c r="B60" s="471"/>
      <c r="C60" s="471"/>
      <c r="D60" s="379"/>
      <c r="E60" s="380" t="str">
        <f>CONCATENATE(TEXT([3]DADOS!K33,"0")," m")</f>
        <v>55 m</v>
      </c>
      <c r="F60" s="385"/>
    </row>
    <row r="61" spans="1:8" s="371" customFormat="1">
      <c r="A61" s="471" t="s">
        <v>326</v>
      </c>
      <c r="B61" s="471"/>
      <c r="C61" s="471"/>
      <c r="D61" s="379"/>
      <c r="E61" s="381">
        <f>[3]DADOS!K26</f>
        <v>1.1299999999999999</v>
      </c>
      <c r="F61" s="385"/>
    </row>
    <row r="62" spans="1:8" s="371" customFormat="1" ht="18" customHeight="1">
      <c r="A62" s="472" t="s">
        <v>327</v>
      </c>
      <c r="B62" s="472"/>
      <c r="C62" s="472"/>
      <c r="E62" s="377" t="s">
        <v>328</v>
      </c>
      <c r="F62" s="385"/>
    </row>
    <row r="63" spans="1:8" s="371" customFormat="1" ht="15.75">
      <c r="A63" s="465" t="s">
        <v>329</v>
      </c>
      <c r="B63" s="465"/>
      <c r="C63" s="465"/>
      <c r="F63" s="385"/>
      <c r="G63" s="387"/>
    </row>
    <row r="64" spans="1:8" s="371" customFormat="1" ht="18" customHeight="1">
      <c r="A64" s="471" t="s">
        <v>330</v>
      </c>
      <c r="B64" s="471"/>
      <c r="C64" s="471"/>
      <c r="D64" s="379"/>
      <c r="E64" s="381">
        <f>[3]DADOS!K27</f>
        <v>6</v>
      </c>
      <c r="F64" s="388"/>
    </row>
    <row r="65" spans="1:11" s="371" customFormat="1">
      <c r="A65" s="471" t="s">
        <v>331</v>
      </c>
      <c r="B65" s="471"/>
      <c r="C65" s="471"/>
      <c r="D65" s="379"/>
      <c r="E65" s="381">
        <f>[3]DADOS!K32</f>
        <v>68</v>
      </c>
      <c r="F65" s="385"/>
    </row>
    <row r="66" spans="1:11" s="371" customFormat="1" ht="18" customHeight="1">
      <c r="A66" s="471" t="s">
        <v>332</v>
      </c>
      <c r="B66" s="471"/>
      <c r="C66" s="471"/>
      <c r="D66" s="379"/>
      <c r="E66" s="381">
        <f>IF([3]DADOS!K27/2&lt;3,3,[3]DADOS!K27/2)</f>
        <v>3</v>
      </c>
      <c r="F66" s="385"/>
    </row>
    <row r="67" spans="1:11" s="371" customFormat="1" ht="18" customHeight="1">
      <c r="A67" s="471" t="s">
        <v>333</v>
      </c>
      <c r="B67" s="471"/>
      <c r="C67" s="471"/>
      <c r="D67" s="379"/>
      <c r="E67" s="380" t="str">
        <f>CONCATENATE(TEXT(IF([3]DADOS!K27&lt;=6,4*[3]DADOS!K27+[3]PROJ!E19,6*[3]DADOS!K27),"0,00")," m")</f>
        <v>27,00 m</v>
      </c>
      <c r="F67" s="385"/>
    </row>
    <row r="68" spans="1:11" s="371" customFormat="1">
      <c r="A68" s="471" t="s">
        <v>334</v>
      </c>
      <c r="B68" s="471"/>
      <c r="C68" s="471"/>
      <c r="D68" s="379"/>
      <c r="E68" s="389" t="s">
        <v>335</v>
      </c>
      <c r="F68" s="390" t="s">
        <v>336</v>
      </c>
    </row>
    <row r="69" spans="1:11" s="371" customFormat="1" ht="18" customHeight="1">
      <c r="A69" s="471" t="s">
        <v>337</v>
      </c>
      <c r="B69" s="471"/>
      <c r="C69" s="471"/>
      <c r="D69" s="379"/>
      <c r="E69" s="379" t="str">
        <f>IF([3]DADOS!K27&lt;=6,"1 Vert : 2 Hor","1 Vert : 2,5 Hor")</f>
        <v>1 Vert : 2 Hor</v>
      </c>
      <c r="F69" s="385"/>
    </row>
    <row r="70" spans="1:11" s="371" customFormat="1" ht="18" customHeight="1">
      <c r="A70" s="474" t="s">
        <v>338</v>
      </c>
      <c r="B70" s="474"/>
      <c r="C70" s="474"/>
      <c r="D70" s="379"/>
      <c r="E70" s="379"/>
      <c r="F70" s="385"/>
    </row>
    <row r="71" spans="1:11" s="371" customFormat="1">
      <c r="A71" s="472" t="s">
        <v>339</v>
      </c>
      <c r="B71" s="472"/>
      <c r="C71" s="472"/>
      <c r="E71" s="377" t="s">
        <v>340</v>
      </c>
      <c r="F71" s="385"/>
    </row>
    <row r="72" spans="1:11" s="371" customFormat="1" ht="18" customHeight="1">
      <c r="A72" s="471" t="s">
        <v>378</v>
      </c>
      <c r="B72" s="471"/>
      <c r="C72" s="471"/>
      <c r="D72" s="379"/>
      <c r="E72" s="381">
        <f>[3]DADOS!K29</f>
        <v>2</v>
      </c>
      <c r="F72" s="385"/>
    </row>
    <row r="73" spans="1:11" s="371" customFormat="1" ht="15.75">
      <c r="A73" s="471" t="s">
        <v>379</v>
      </c>
      <c r="B73" s="471"/>
      <c r="C73" s="471"/>
      <c r="D73" s="379"/>
      <c r="E73" s="381">
        <f>INT(E76/(1.7*([3]DADOS!K29-0.5)^1.5))</f>
        <v>11</v>
      </c>
      <c r="F73" s="385"/>
    </row>
    <row r="74" spans="1:11" s="371" customFormat="1" ht="18" customHeight="1">
      <c r="A74" s="471" t="s">
        <v>341</v>
      </c>
      <c r="B74" s="471"/>
      <c r="C74" s="471"/>
      <c r="D74" s="381"/>
      <c r="E74" s="381">
        <f>E72+0.5</f>
        <v>2.5</v>
      </c>
      <c r="F74" s="385"/>
      <c r="G74" s="241"/>
    </row>
    <row r="75" spans="1:11" s="371" customFormat="1">
      <c r="A75" s="472" t="s">
        <v>342</v>
      </c>
      <c r="B75" s="472"/>
      <c r="C75" s="472"/>
      <c r="E75" s="381">
        <f>E72-0.5</f>
        <v>1.5</v>
      </c>
      <c r="F75" s="391"/>
      <c r="G75" s="241"/>
    </row>
    <row r="76" spans="1:11" s="371" customFormat="1" ht="18" customHeight="1">
      <c r="A76" s="471" t="s">
        <v>380</v>
      </c>
      <c r="B76" s="471"/>
      <c r="C76" s="471"/>
      <c r="D76" s="379"/>
      <c r="E76" s="381">
        <f>IF(E56&gt;=5,(25*E56^0.58)*[3]DADOS!L41*[3]DADOS!A61*[3]DADOS!L42,(17*E56^0.8)*[3]DADOS!L41*[3]DADOS!A61*[3]DADOS!L42)</f>
        <v>35.948524183047539</v>
      </c>
      <c r="F76" s="385"/>
      <c r="G76" s="241"/>
    </row>
    <row r="77" spans="1:11" s="371" customFormat="1" ht="18" customHeight="1">
      <c r="A77" s="392"/>
      <c r="B77" s="392"/>
      <c r="C77" s="392"/>
      <c r="D77" s="379"/>
      <c r="E77" s="381"/>
      <c r="F77" s="385"/>
      <c r="G77" s="241"/>
    </row>
    <row r="78" spans="1:11" ht="17.25" thickBot="1">
      <c r="A78" s="488" t="s">
        <v>351</v>
      </c>
      <c r="B78" s="488"/>
      <c r="C78" s="488"/>
      <c r="D78" s="488"/>
      <c r="E78" s="488"/>
      <c r="F78" s="488"/>
      <c r="G78" s="488"/>
      <c r="H78" s="488"/>
      <c r="I78" s="488"/>
      <c r="J78" s="488"/>
      <c r="K78" s="488"/>
    </row>
    <row r="79" spans="1:11" ht="12.75" customHeight="1" thickTop="1">
      <c r="A79" s="331"/>
      <c r="B79" s="331"/>
      <c r="C79" s="331"/>
      <c r="D79" s="331"/>
      <c r="E79" s="331"/>
      <c r="F79" s="331"/>
      <c r="G79" s="331"/>
      <c r="H79" s="331"/>
      <c r="I79" s="331"/>
      <c r="J79" s="331"/>
      <c r="K79" s="331"/>
    </row>
    <row r="80" spans="1:11" ht="12.75" customHeight="1">
      <c r="A80" s="489" t="s">
        <v>364</v>
      </c>
      <c r="B80" s="489"/>
      <c r="C80" s="489"/>
      <c r="D80" s="489"/>
      <c r="E80" s="489"/>
      <c r="F80" s="489"/>
      <c r="G80" s="489"/>
      <c r="H80" s="489"/>
      <c r="I80" s="489"/>
      <c r="J80" s="489"/>
      <c r="K80" s="489"/>
    </row>
    <row r="81" spans="1:11" ht="12.75" customHeight="1">
      <c r="A81" s="489"/>
      <c r="B81" s="489"/>
      <c r="C81" s="489"/>
      <c r="D81" s="489"/>
      <c r="E81" s="489"/>
      <c r="F81" s="489"/>
      <c r="G81" s="489"/>
      <c r="H81" s="489"/>
      <c r="I81" s="489"/>
      <c r="J81" s="489"/>
      <c r="K81" s="489"/>
    </row>
    <row r="82" spans="1:11" ht="12.75" customHeight="1">
      <c r="A82" s="490" t="s">
        <v>352</v>
      </c>
      <c r="B82" s="492" t="s">
        <v>353</v>
      </c>
      <c r="C82" s="494" t="s">
        <v>365</v>
      </c>
      <c r="D82" s="494"/>
      <c r="E82" s="494"/>
      <c r="F82" s="494"/>
      <c r="G82" s="494"/>
      <c r="H82" s="494"/>
      <c r="I82" s="494"/>
      <c r="J82" s="494"/>
      <c r="K82" s="495"/>
    </row>
    <row r="83" spans="1:11" ht="12.75" customHeight="1" thickBot="1">
      <c r="A83" s="491"/>
      <c r="B83" s="493"/>
      <c r="C83" s="332" t="s">
        <v>354</v>
      </c>
      <c r="D83" s="333" t="s">
        <v>355</v>
      </c>
      <c r="E83" s="333" t="s">
        <v>356</v>
      </c>
      <c r="F83" s="333" t="s">
        <v>357</v>
      </c>
      <c r="G83" s="333" t="s">
        <v>358</v>
      </c>
      <c r="H83" s="333"/>
      <c r="I83" s="333"/>
      <c r="J83" s="333"/>
      <c r="K83" s="333"/>
    </row>
    <row r="84" spans="1:11" ht="12.75" customHeight="1" thickTop="1">
      <c r="A84" s="334">
        <v>1</v>
      </c>
      <c r="B84" s="335">
        <v>0.5</v>
      </c>
      <c r="C84" s="336">
        <v>9</v>
      </c>
      <c r="D84" s="336">
        <v>10</v>
      </c>
      <c r="E84" s="336">
        <v>11</v>
      </c>
      <c r="F84" s="336">
        <v>12</v>
      </c>
      <c r="G84" s="336">
        <v>13</v>
      </c>
      <c r="H84" s="336"/>
      <c r="I84" s="336"/>
      <c r="J84" s="336"/>
      <c r="K84" s="337"/>
    </row>
    <row r="85" spans="1:11" ht="12.75" customHeight="1">
      <c r="A85" s="338">
        <v>2</v>
      </c>
      <c r="B85" s="339">
        <v>1</v>
      </c>
      <c r="C85" s="336">
        <v>8</v>
      </c>
      <c r="D85" s="336">
        <v>9</v>
      </c>
      <c r="E85" s="336">
        <v>10</v>
      </c>
      <c r="F85" s="336">
        <v>11</v>
      </c>
      <c r="G85" s="336">
        <v>12</v>
      </c>
      <c r="H85" s="336"/>
      <c r="I85" s="336"/>
      <c r="J85" s="336"/>
      <c r="K85" s="337"/>
    </row>
    <row r="86" spans="1:11" ht="12.75" customHeight="1">
      <c r="A86" s="338">
        <v>3</v>
      </c>
      <c r="B86" s="339">
        <v>1.5</v>
      </c>
      <c r="C86" s="336">
        <v>7</v>
      </c>
      <c r="D86" s="336">
        <v>8</v>
      </c>
      <c r="E86" s="336">
        <v>9</v>
      </c>
      <c r="F86" s="336">
        <v>10</v>
      </c>
      <c r="G86" s="336">
        <v>11</v>
      </c>
      <c r="H86" s="336"/>
      <c r="I86" s="336"/>
      <c r="J86" s="336"/>
      <c r="K86" s="337"/>
    </row>
    <row r="87" spans="1:11" ht="12.75" customHeight="1">
      <c r="A87" s="338">
        <v>4</v>
      </c>
      <c r="B87" s="339">
        <v>2</v>
      </c>
      <c r="C87" s="336">
        <v>6</v>
      </c>
      <c r="D87" s="336">
        <v>7</v>
      </c>
      <c r="E87" s="336">
        <v>8</v>
      </c>
      <c r="F87" s="336">
        <v>9</v>
      </c>
      <c r="G87" s="336">
        <v>10</v>
      </c>
      <c r="H87" s="336"/>
      <c r="I87" s="336"/>
      <c r="J87" s="336"/>
      <c r="K87" s="337"/>
    </row>
    <row r="88" spans="1:11" ht="12.75" customHeight="1">
      <c r="A88" s="338">
        <v>5</v>
      </c>
      <c r="B88" s="339">
        <v>2.5</v>
      </c>
      <c r="C88" s="336">
        <v>5</v>
      </c>
      <c r="D88" s="336">
        <v>6</v>
      </c>
      <c r="E88" s="336">
        <v>7</v>
      </c>
      <c r="F88" s="336">
        <v>8</v>
      </c>
      <c r="G88" s="336">
        <v>9</v>
      </c>
      <c r="H88" s="336"/>
      <c r="I88" s="336"/>
      <c r="J88" s="336"/>
      <c r="K88" s="337"/>
    </row>
    <row r="89" spans="1:11" ht="12.75" customHeight="1">
      <c r="A89" s="338">
        <v>6</v>
      </c>
      <c r="B89" s="339">
        <v>3</v>
      </c>
      <c r="C89" s="336">
        <v>4</v>
      </c>
      <c r="D89" s="336">
        <v>5</v>
      </c>
      <c r="E89" s="336">
        <v>6</v>
      </c>
      <c r="F89" s="336">
        <v>7</v>
      </c>
      <c r="G89" s="336">
        <v>8</v>
      </c>
      <c r="H89" s="336"/>
      <c r="I89" s="336"/>
      <c r="J89" s="336"/>
      <c r="K89" s="337"/>
    </row>
    <row r="90" spans="1:11" ht="12.75" customHeight="1">
      <c r="A90" s="338">
        <v>7</v>
      </c>
      <c r="B90" s="339">
        <v>3.5</v>
      </c>
      <c r="C90" s="336">
        <v>3</v>
      </c>
      <c r="D90" s="336">
        <v>4</v>
      </c>
      <c r="E90" s="336">
        <v>5</v>
      </c>
      <c r="F90" s="336">
        <v>6</v>
      </c>
      <c r="G90" s="336">
        <v>7</v>
      </c>
      <c r="H90" s="336"/>
      <c r="I90" s="336"/>
      <c r="J90" s="336"/>
      <c r="K90" s="337"/>
    </row>
    <row r="91" spans="1:11" ht="12.75" customHeight="1">
      <c r="A91" s="338">
        <v>8</v>
      </c>
      <c r="B91" s="339">
        <v>4</v>
      </c>
      <c r="C91" s="336">
        <v>2</v>
      </c>
      <c r="D91" s="336">
        <v>3</v>
      </c>
      <c r="E91" s="336">
        <v>4</v>
      </c>
      <c r="F91" s="336">
        <v>5</v>
      </c>
      <c r="G91" s="336">
        <v>6</v>
      </c>
      <c r="H91" s="336"/>
      <c r="I91" s="336"/>
      <c r="J91" s="336"/>
      <c r="K91" s="337"/>
    </row>
    <row r="92" spans="1:11" ht="12.75" customHeight="1">
      <c r="A92" s="338">
        <v>9</v>
      </c>
      <c r="B92" s="339">
        <v>4.5</v>
      </c>
      <c r="C92" s="336"/>
      <c r="D92" s="336">
        <v>2</v>
      </c>
      <c r="E92" s="336">
        <v>3</v>
      </c>
      <c r="F92" s="336">
        <v>4</v>
      </c>
      <c r="G92" s="336">
        <v>5</v>
      </c>
      <c r="H92" s="336"/>
      <c r="I92" s="336"/>
      <c r="J92" s="336"/>
      <c r="K92" s="337"/>
    </row>
    <row r="93" spans="1:11" ht="12.75" customHeight="1">
      <c r="A93" s="338">
        <v>10</v>
      </c>
      <c r="B93" s="339">
        <v>5</v>
      </c>
      <c r="C93" s="336"/>
      <c r="D93" s="336"/>
      <c r="E93" s="336">
        <v>2</v>
      </c>
      <c r="F93" s="336">
        <v>3</v>
      </c>
      <c r="G93" s="336">
        <v>4</v>
      </c>
      <c r="H93" s="336"/>
      <c r="I93" s="336"/>
      <c r="J93" s="336"/>
      <c r="K93" s="337"/>
    </row>
    <row r="94" spans="1:11" ht="12.75" customHeight="1">
      <c r="A94" s="338">
        <v>11</v>
      </c>
      <c r="B94" s="339">
        <v>5.5</v>
      </c>
      <c r="C94" s="336"/>
      <c r="D94" s="336"/>
      <c r="E94" s="336"/>
      <c r="F94" s="336">
        <v>2</v>
      </c>
      <c r="G94" s="336">
        <v>3</v>
      </c>
      <c r="H94" s="336"/>
      <c r="I94" s="336"/>
      <c r="J94" s="336"/>
      <c r="K94" s="337"/>
    </row>
    <row r="95" spans="1:11" ht="12.75" customHeight="1">
      <c r="A95" s="338">
        <v>12</v>
      </c>
      <c r="B95" s="339">
        <v>6</v>
      </c>
      <c r="C95" s="336"/>
      <c r="D95" s="336"/>
      <c r="E95" s="336"/>
      <c r="F95" s="336"/>
      <c r="G95" s="336">
        <v>2</v>
      </c>
      <c r="H95" s="336"/>
      <c r="I95" s="336"/>
      <c r="J95" s="336"/>
      <c r="K95" s="337"/>
    </row>
    <row r="96" spans="1:11" ht="12.75" customHeight="1">
      <c r="A96" s="338"/>
      <c r="B96" s="339"/>
      <c r="C96" s="336"/>
      <c r="D96" s="336"/>
      <c r="E96" s="336"/>
      <c r="F96" s="336"/>
      <c r="G96" s="336"/>
      <c r="H96" s="336"/>
      <c r="I96" s="336"/>
      <c r="J96" s="336"/>
      <c r="K96" s="337"/>
    </row>
    <row r="97" spans="1:15" ht="12.75" customHeight="1">
      <c r="A97" s="338"/>
      <c r="B97" s="339"/>
      <c r="C97" s="336"/>
      <c r="D97" s="336"/>
      <c r="E97" s="336"/>
      <c r="F97" s="336"/>
      <c r="G97" s="336"/>
      <c r="H97" s="336"/>
      <c r="I97" s="336"/>
      <c r="J97" s="336"/>
      <c r="K97" s="337"/>
    </row>
    <row r="98" spans="1:15" ht="12.75" customHeight="1">
      <c r="A98" s="338"/>
      <c r="B98" s="339"/>
      <c r="C98" s="336"/>
      <c r="D98" s="336"/>
      <c r="E98" s="336"/>
      <c r="F98" s="336"/>
      <c r="G98" s="336"/>
      <c r="H98" s="336"/>
      <c r="I98" s="336"/>
      <c r="J98" s="336"/>
      <c r="K98" s="337"/>
    </row>
    <row r="99" spans="1:15" ht="12.75" customHeight="1">
      <c r="A99" s="338"/>
      <c r="B99" s="339"/>
      <c r="C99" s="336"/>
      <c r="D99" s="336"/>
      <c r="E99" s="336"/>
      <c r="F99" s="336"/>
      <c r="G99" s="336"/>
      <c r="H99" s="336"/>
      <c r="I99" s="336"/>
      <c r="J99" s="336"/>
      <c r="K99" s="337"/>
    </row>
    <row r="100" spans="1:15" ht="12.75" customHeight="1">
      <c r="A100" s="331"/>
      <c r="B100" s="331"/>
      <c r="C100" s="331"/>
      <c r="D100" s="331"/>
      <c r="E100" s="331"/>
      <c r="F100" s="331"/>
      <c r="G100" s="331"/>
      <c r="H100" s="331"/>
      <c r="I100" s="340"/>
      <c r="J100" s="331"/>
      <c r="K100" s="331"/>
    </row>
    <row r="101" spans="1:15" ht="12.75" customHeight="1">
      <c r="A101" s="331"/>
      <c r="B101" s="331"/>
      <c r="C101" s="331"/>
      <c r="D101" s="331"/>
      <c r="E101" s="331"/>
      <c r="F101" s="331"/>
      <c r="G101" s="331"/>
      <c r="H101" s="331"/>
      <c r="I101" s="331"/>
      <c r="J101" s="331"/>
      <c r="K101" s="331"/>
      <c r="O101" s="341"/>
    </row>
    <row r="102" spans="1:15" ht="12.75" customHeight="1">
      <c r="A102" s="331"/>
      <c r="B102" s="331"/>
      <c r="C102" s="331"/>
      <c r="D102" s="331"/>
      <c r="E102" s="331"/>
      <c r="F102" s="331"/>
      <c r="G102" s="331"/>
      <c r="H102" s="331"/>
      <c r="I102" s="331"/>
      <c r="J102" s="331"/>
      <c r="K102" s="331"/>
    </row>
    <row r="103" spans="1:15" ht="12.75" customHeight="1">
      <c r="A103" s="331"/>
      <c r="B103" s="331"/>
      <c r="C103" s="331"/>
      <c r="D103" s="331"/>
      <c r="E103" s="331"/>
      <c r="F103" s="331"/>
      <c r="G103" s="331"/>
      <c r="H103" s="331"/>
      <c r="I103" s="331"/>
      <c r="J103" s="331"/>
      <c r="K103" s="331"/>
    </row>
    <row r="104" spans="1:15" ht="12.75" customHeight="1">
      <c r="A104" s="331"/>
      <c r="B104" s="331"/>
      <c r="C104" s="331"/>
      <c r="D104" s="331"/>
      <c r="E104" s="331"/>
      <c r="F104" s="331"/>
      <c r="G104" s="331"/>
      <c r="H104" s="331"/>
      <c r="I104" s="331"/>
      <c r="J104" s="331"/>
      <c r="K104" s="331"/>
    </row>
    <row r="105" spans="1:15" ht="12.75" customHeight="1">
      <c r="A105" s="331"/>
      <c r="B105" s="331"/>
      <c r="C105" s="331"/>
      <c r="D105" s="331"/>
      <c r="E105" s="331"/>
      <c r="F105" s="331"/>
      <c r="G105" s="331"/>
      <c r="H105" s="331"/>
      <c r="I105" s="331"/>
      <c r="J105" s="331"/>
      <c r="K105" s="331"/>
    </row>
    <row r="106" spans="1:15" ht="12.75" customHeight="1">
      <c r="A106" s="331"/>
      <c r="B106" s="331"/>
      <c r="C106" s="331"/>
      <c r="D106" s="331"/>
      <c r="E106" s="331"/>
      <c r="F106" s="331"/>
      <c r="G106" s="331"/>
      <c r="H106" s="331"/>
      <c r="I106" s="331"/>
      <c r="J106" s="331"/>
      <c r="K106" s="331"/>
    </row>
    <row r="107" spans="1:15" ht="12.75" customHeight="1">
      <c r="A107" s="331"/>
      <c r="B107" s="331"/>
      <c r="C107" s="331"/>
      <c r="D107" s="331"/>
      <c r="E107" s="331"/>
      <c r="F107" s="331"/>
      <c r="G107" s="331"/>
      <c r="H107" s="331"/>
      <c r="I107" s="331"/>
      <c r="J107" s="331"/>
      <c r="K107" s="331"/>
    </row>
    <row r="108" spans="1:15" ht="12.75" customHeight="1">
      <c r="A108" s="331"/>
      <c r="B108" s="331"/>
      <c r="C108" s="331"/>
      <c r="D108" s="331"/>
      <c r="E108" s="331"/>
      <c r="F108" s="331"/>
      <c r="G108" s="331"/>
      <c r="H108" s="331"/>
      <c r="I108" s="331"/>
      <c r="J108" s="331"/>
      <c r="K108" s="331"/>
    </row>
    <row r="109" spans="1:15" ht="12.75" customHeight="1">
      <c r="A109" s="331"/>
      <c r="B109" s="331"/>
      <c r="C109" s="331"/>
      <c r="D109" s="331"/>
      <c r="E109" s="331"/>
      <c r="F109" s="331"/>
      <c r="G109" s="331"/>
      <c r="H109" s="331"/>
      <c r="I109" s="331"/>
      <c r="J109" s="331"/>
      <c r="K109" s="331"/>
    </row>
    <row r="110" spans="1:15" ht="12.75" customHeight="1">
      <c r="A110" s="331"/>
      <c r="B110" s="331"/>
      <c r="C110" s="331"/>
      <c r="D110" s="331"/>
      <c r="E110" s="331"/>
      <c r="F110" s="331"/>
      <c r="G110" s="331"/>
      <c r="H110" s="331"/>
      <c r="I110" s="331"/>
      <c r="J110" s="331"/>
      <c r="K110" s="331"/>
    </row>
    <row r="111" spans="1:15" ht="12.75" customHeight="1">
      <c r="A111" s="331"/>
      <c r="B111" s="331"/>
      <c r="C111" s="331"/>
      <c r="D111" s="331"/>
      <c r="E111" s="331"/>
      <c r="F111" s="331"/>
      <c r="G111" s="331"/>
      <c r="H111" s="331"/>
      <c r="I111" s="331"/>
      <c r="J111" s="331"/>
      <c r="K111" s="331"/>
    </row>
    <row r="112" spans="1:15" ht="12.75" customHeight="1">
      <c r="A112" s="331"/>
      <c r="B112" s="331"/>
      <c r="C112" s="331"/>
      <c r="D112" s="331"/>
      <c r="E112" s="331"/>
      <c r="F112" s="331"/>
      <c r="G112" s="331"/>
      <c r="H112" s="331"/>
      <c r="I112" s="331"/>
      <c r="J112" s="331"/>
      <c r="K112" s="331"/>
    </row>
    <row r="113" spans="1:11" ht="12.75" customHeight="1">
      <c r="A113" s="331"/>
      <c r="B113" s="331"/>
      <c r="C113" s="331"/>
      <c r="D113" s="331"/>
      <c r="E113" s="331"/>
      <c r="F113" s="331"/>
      <c r="G113" s="331"/>
      <c r="H113" s="331"/>
      <c r="I113" s="331"/>
      <c r="J113" s="331"/>
      <c r="K113" s="331"/>
    </row>
    <row r="114" spans="1:11" ht="12.75" customHeight="1">
      <c r="A114" s="331"/>
      <c r="B114" s="331"/>
      <c r="C114" s="331"/>
      <c r="D114" s="331"/>
      <c r="E114" s="331"/>
      <c r="F114" s="331"/>
      <c r="G114" s="331"/>
      <c r="H114" s="331"/>
      <c r="I114" s="331"/>
      <c r="J114" s="331"/>
      <c r="K114" s="331"/>
    </row>
    <row r="115" spans="1:11" ht="12.75" customHeight="1">
      <c r="A115" s="331"/>
      <c r="B115" s="331"/>
      <c r="C115" s="331"/>
      <c r="D115" s="331"/>
      <c r="E115" s="331"/>
      <c r="F115" s="331"/>
      <c r="G115" s="331"/>
      <c r="H115" s="331"/>
      <c r="I115" s="331"/>
      <c r="J115" s="331"/>
      <c r="K115" s="331"/>
    </row>
    <row r="116" spans="1:11" ht="12.75" customHeight="1">
      <c r="A116" s="331"/>
      <c r="B116" s="331"/>
      <c r="C116" s="331"/>
      <c r="D116" s="331"/>
      <c r="E116" s="331"/>
      <c r="F116" s="331"/>
      <c r="G116" s="331"/>
      <c r="H116" s="331"/>
      <c r="I116" s="331"/>
      <c r="J116" s="331"/>
      <c r="K116" s="331"/>
    </row>
    <row r="117" spans="1:11" ht="12.75" customHeight="1">
      <c r="A117" s="331"/>
      <c r="B117" s="331"/>
      <c r="C117" s="331"/>
      <c r="D117" s="331"/>
      <c r="E117" s="331"/>
      <c r="F117" s="331"/>
      <c r="G117" s="331"/>
      <c r="H117" s="331"/>
      <c r="I117" s="331"/>
      <c r="J117" s="331"/>
      <c r="K117" s="331"/>
    </row>
    <row r="118" spans="1:11" ht="12.75" customHeight="1">
      <c r="A118" s="331"/>
      <c r="B118" s="331"/>
      <c r="C118" s="331"/>
      <c r="D118" s="331"/>
      <c r="E118" s="331"/>
      <c r="F118" s="331"/>
      <c r="G118" s="331"/>
      <c r="H118" s="331"/>
      <c r="I118" s="331"/>
      <c r="J118" s="331"/>
      <c r="K118" s="331"/>
    </row>
    <row r="119" spans="1:11" ht="12.75" customHeight="1">
      <c r="A119" s="331"/>
      <c r="B119" s="331"/>
      <c r="C119" s="331"/>
      <c r="D119" s="331"/>
      <c r="E119" s="331"/>
      <c r="F119" s="331"/>
      <c r="G119" s="331"/>
      <c r="H119" s="331"/>
      <c r="I119" s="331"/>
      <c r="J119" s="331"/>
      <c r="K119" s="331"/>
    </row>
    <row r="120" spans="1:11" ht="12.75" customHeight="1">
      <c r="A120" s="331"/>
      <c r="B120" s="331"/>
      <c r="C120" s="331"/>
      <c r="D120" s="331"/>
      <c r="E120" s="331"/>
      <c r="F120" s="331"/>
      <c r="G120" s="331"/>
      <c r="H120" s="331"/>
      <c r="I120" s="331"/>
      <c r="J120" s="331"/>
      <c r="K120" s="331"/>
    </row>
    <row r="121" spans="1:11" ht="12.75" customHeight="1">
      <c r="A121" s="331"/>
      <c r="B121" s="331"/>
      <c r="C121" s="331"/>
      <c r="D121" s="331"/>
      <c r="E121" s="331"/>
      <c r="F121" s="331"/>
      <c r="G121" s="331"/>
      <c r="H121" s="331"/>
      <c r="I121" s="331"/>
      <c r="J121" s="331"/>
      <c r="K121" s="331"/>
    </row>
    <row r="122" spans="1:11" ht="12.75" customHeight="1">
      <c r="A122" s="331"/>
      <c r="B122" s="331"/>
      <c r="C122" s="331"/>
      <c r="D122" s="331"/>
      <c r="E122" s="331"/>
      <c r="F122" s="331"/>
      <c r="G122" s="331"/>
      <c r="H122" s="331"/>
      <c r="I122" s="331"/>
      <c r="J122" s="331"/>
      <c r="K122" s="331"/>
    </row>
    <row r="123" spans="1:11" ht="12.75" customHeight="1">
      <c r="A123" s="331"/>
      <c r="B123" s="331"/>
      <c r="C123" s="331"/>
      <c r="D123" s="331"/>
      <c r="E123" s="331"/>
      <c r="F123" s="331"/>
      <c r="G123" s="331"/>
      <c r="H123" s="331"/>
      <c r="I123" s="331"/>
      <c r="J123" s="331"/>
      <c r="K123" s="331"/>
    </row>
    <row r="124" spans="1:11" ht="12.75" customHeight="1">
      <c r="A124" s="331"/>
      <c r="B124" s="331"/>
      <c r="C124" s="331"/>
      <c r="D124" s="331"/>
      <c r="E124" s="331"/>
      <c r="F124" s="331"/>
      <c r="G124" s="331"/>
      <c r="H124" s="331"/>
      <c r="I124" s="331"/>
      <c r="J124" s="331"/>
      <c r="K124" s="331"/>
    </row>
    <row r="125" spans="1:11" ht="12.75" customHeight="1">
      <c r="A125" s="331"/>
      <c r="B125" s="331"/>
      <c r="C125" s="331"/>
      <c r="D125" s="331"/>
      <c r="E125" s="331"/>
      <c r="F125" s="331"/>
      <c r="G125" s="331"/>
      <c r="H125" s="331"/>
      <c r="I125" s="331"/>
      <c r="J125" s="331"/>
      <c r="K125" s="331"/>
    </row>
    <row r="126" spans="1:11" ht="12.75" customHeight="1">
      <c r="A126" s="331"/>
      <c r="B126" s="331"/>
      <c r="C126" s="331"/>
      <c r="D126" s="331"/>
      <c r="E126" s="331"/>
      <c r="F126" s="331"/>
      <c r="G126" s="331"/>
      <c r="H126" s="331"/>
      <c r="I126" s="331"/>
      <c r="J126" s="331"/>
      <c r="K126" s="331"/>
    </row>
    <row r="127" spans="1:11" ht="12.75" customHeight="1">
      <c r="A127" s="331"/>
      <c r="B127" s="331"/>
      <c r="C127" s="331"/>
      <c r="D127" s="331"/>
      <c r="E127" s="331"/>
      <c r="F127" s="331"/>
      <c r="G127" s="331"/>
      <c r="H127" s="331"/>
      <c r="I127" s="331"/>
      <c r="J127" s="331"/>
      <c r="K127" s="331"/>
    </row>
    <row r="128" spans="1:11" ht="12.75" customHeight="1">
      <c r="A128" s="331"/>
      <c r="B128" s="331"/>
      <c r="C128" s="331"/>
      <c r="D128" s="331"/>
      <c r="E128" s="331"/>
      <c r="F128" s="331"/>
      <c r="G128" s="331"/>
      <c r="H128" s="331"/>
      <c r="I128" s="331"/>
      <c r="J128" s="331"/>
      <c r="K128" s="331"/>
    </row>
    <row r="129" spans="1:11" ht="12.75" customHeight="1">
      <c r="A129" s="331"/>
      <c r="B129" s="331"/>
      <c r="C129" s="331"/>
      <c r="D129" s="331"/>
      <c r="E129" s="331"/>
      <c r="F129" s="331"/>
      <c r="G129" s="331"/>
      <c r="H129" s="331"/>
      <c r="I129" s="331"/>
      <c r="J129" s="331"/>
      <c r="K129" s="331"/>
    </row>
    <row r="130" spans="1:11" ht="12.75" customHeight="1">
      <c r="A130" s="331"/>
      <c r="B130" s="331"/>
      <c r="C130" s="331"/>
      <c r="D130" s="331"/>
      <c r="E130" s="331"/>
      <c r="F130" s="331"/>
      <c r="G130" s="331"/>
      <c r="H130" s="331"/>
      <c r="I130" s="331"/>
      <c r="J130" s="331"/>
      <c r="K130" s="331"/>
    </row>
    <row r="131" spans="1:11" ht="12.75" customHeight="1">
      <c r="A131" s="331"/>
      <c r="B131" s="331"/>
      <c r="C131" s="331"/>
      <c r="D131" s="331"/>
      <c r="E131" s="331"/>
      <c r="F131" s="331"/>
      <c r="G131" s="331"/>
      <c r="H131" s="331"/>
      <c r="I131" s="331"/>
      <c r="J131" s="331"/>
      <c r="K131" s="331"/>
    </row>
    <row r="132" spans="1:11" ht="12.75" customHeight="1">
      <c r="A132" s="331"/>
      <c r="B132" s="331"/>
      <c r="C132" s="331"/>
      <c r="D132" s="331"/>
      <c r="E132" s="331"/>
      <c r="F132" s="331"/>
      <c r="G132" s="331"/>
      <c r="H132" s="331"/>
      <c r="I132" s="331"/>
      <c r="J132" s="331"/>
      <c r="K132" s="331"/>
    </row>
    <row r="133" spans="1:11" ht="12.75" customHeight="1">
      <c r="A133" s="331"/>
      <c r="B133" s="331"/>
      <c r="C133" s="331"/>
      <c r="D133" s="331"/>
      <c r="E133" s="331"/>
      <c r="F133" s="331"/>
      <c r="G133" s="331"/>
      <c r="H133" s="331"/>
      <c r="I133" s="331"/>
      <c r="J133" s="331"/>
      <c r="K133" s="331"/>
    </row>
    <row r="134" spans="1:11" ht="12.75" customHeight="1"/>
    <row r="144" spans="1:11" ht="17.25" thickBot="1">
      <c r="A144" s="480" t="s">
        <v>359</v>
      </c>
      <c r="B144" s="481"/>
      <c r="C144" s="481"/>
      <c r="D144" s="481"/>
      <c r="E144" s="481"/>
      <c r="F144" s="481"/>
      <c r="G144" s="481"/>
      <c r="H144" s="481"/>
    </row>
    <row r="145" spans="1:8" ht="18.75" thickTop="1">
      <c r="A145" s="342"/>
      <c r="B145" s="343"/>
      <c r="C145" s="343"/>
      <c r="D145" s="343"/>
      <c r="E145" s="343"/>
      <c r="F145" s="343"/>
      <c r="G145" s="343"/>
      <c r="H145" s="343"/>
    </row>
    <row r="146" spans="1:8" ht="18">
      <c r="A146" s="342"/>
      <c r="B146" s="343"/>
      <c r="C146" s="343"/>
      <c r="D146" s="343"/>
      <c r="E146" s="343"/>
      <c r="F146" s="343"/>
      <c r="G146" s="343"/>
      <c r="H146" s="343"/>
    </row>
    <row r="147" spans="1:8" ht="18">
      <c r="A147" s="342"/>
      <c r="B147" s="343"/>
      <c r="C147" s="343"/>
      <c r="D147" s="343"/>
      <c r="E147" s="343"/>
      <c r="F147" s="343"/>
      <c r="G147" s="343"/>
      <c r="H147" s="343"/>
    </row>
    <row r="148" spans="1:8">
      <c r="A148" s="344"/>
      <c r="B148" s="344" t="s">
        <v>316</v>
      </c>
      <c r="C148" s="344"/>
      <c r="D148" s="344" t="s">
        <v>317</v>
      </c>
      <c r="E148" s="344"/>
      <c r="F148" s="344"/>
      <c r="G148" s="344"/>
      <c r="H148" s="344"/>
    </row>
    <row r="149" spans="1:8">
      <c r="A149" s="344"/>
      <c r="B149" s="344"/>
      <c r="C149" s="344"/>
      <c r="D149" s="344"/>
      <c r="E149" s="344"/>
      <c r="F149" s="344"/>
      <c r="G149" s="344"/>
      <c r="H149" s="344"/>
    </row>
    <row r="150" spans="1:8">
      <c r="A150" s="344"/>
      <c r="B150" s="344" t="s">
        <v>318</v>
      </c>
      <c r="C150" s="344"/>
      <c r="D150" s="344" t="s">
        <v>319</v>
      </c>
      <c r="E150" s="344"/>
      <c r="F150" s="344"/>
      <c r="G150" s="344"/>
      <c r="H150" s="344"/>
    </row>
    <row r="151" spans="1:8">
      <c r="A151" s="344"/>
      <c r="B151" s="344"/>
      <c r="C151" s="344"/>
      <c r="D151" s="344"/>
      <c r="E151" s="344"/>
      <c r="F151" s="344"/>
      <c r="G151" s="344"/>
      <c r="H151" s="344"/>
    </row>
    <row r="152" spans="1:8" ht="15.75" thickBot="1">
      <c r="A152" s="344"/>
      <c r="B152" s="482"/>
      <c r="C152" s="482"/>
      <c r="D152" s="482"/>
      <c r="E152" s="482"/>
      <c r="F152" s="482"/>
      <c r="G152" s="482"/>
      <c r="H152" s="482"/>
    </row>
    <row r="153" spans="1:8">
      <c r="A153" s="483" t="s">
        <v>352</v>
      </c>
      <c r="B153" s="485" t="s">
        <v>353</v>
      </c>
      <c r="C153" s="485" t="s">
        <v>366</v>
      </c>
      <c r="D153" s="485" t="s">
        <v>367</v>
      </c>
      <c r="E153" s="485" t="s">
        <v>368</v>
      </c>
      <c r="F153" s="485" t="s">
        <v>369</v>
      </c>
      <c r="G153" s="475" t="s">
        <v>370</v>
      </c>
      <c r="H153" s="476"/>
    </row>
    <row r="154" spans="1:8" ht="26.25" customHeight="1" thickBot="1">
      <c r="A154" s="484"/>
      <c r="B154" s="486"/>
      <c r="C154" s="487"/>
      <c r="D154" s="487"/>
      <c r="E154" s="487"/>
      <c r="F154" s="487"/>
      <c r="G154" s="345" t="s">
        <v>360</v>
      </c>
      <c r="H154" s="346" t="s">
        <v>361</v>
      </c>
    </row>
    <row r="155" spans="1:8">
      <c r="A155" s="347">
        <v>1</v>
      </c>
      <c r="B155" s="348">
        <v>0.5</v>
      </c>
      <c r="C155" s="349">
        <v>0</v>
      </c>
      <c r="D155" s="349">
        <v>7</v>
      </c>
      <c r="E155" s="349">
        <f>(C155+D155)/2</f>
        <v>3.5</v>
      </c>
      <c r="F155" s="350">
        <v>13</v>
      </c>
      <c r="G155" s="351">
        <f>E155*F155</f>
        <v>45.5</v>
      </c>
      <c r="H155" s="352">
        <f>+G155</f>
        <v>45.5</v>
      </c>
    </row>
    <row r="156" spans="1:8">
      <c r="A156" s="353">
        <v>2</v>
      </c>
      <c r="B156" s="354">
        <v>1</v>
      </c>
      <c r="C156" s="355">
        <v>7</v>
      </c>
      <c r="D156" s="355">
        <v>10</v>
      </c>
      <c r="E156" s="355">
        <f t="shared" ref="E156:E166" si="0">(C156+D156)/2</f>
        <v>8.5</v>
      </c>
      <c r="F156" s="356">
        <v>12</v>
      </c>
      <c r="G156" s="357">
        <f t="shared" ref="G156:G166" si="1">E156*F156</f>
        <v>102</v>
      </c>
      <c r="H156" s="358">
        <f t="shared" ref="H156:H166" si="2">H155+G156</f>
        <v>147.5</v>
      </c>
    </row>
    <row r="157" spans="1:8">
      <c r="A157" s="353">
        <v>3</v>
      </c>
      <c r="B157" s="354">
        <v>1.5</v>
      </c>
      <c r="C157" s="355">
        <v>10</v>
      </c>
      <c r="D157" s="355">
        <v>29</v>
      </c>
      <c r="E157" s="355">
        <f t="shared" si="0"/>
        <v>19.5</v>
      </c>
      <c r="F157" s="356">
        <v>11</v>
      </c>
      <c r="G157" s="357">
        <f t="shared" si="1"/>
        <v>214.5</v>
      </c>
      <c r="H157" s="358">
        <f t="shared" si="2"/>
        <v>362</v>
      </c>
    </row>
    <row r="158" spans="1:8">
      <c r="A158" s="353">
        <v>4</v>
      </c>
      <c r="B158" s="354">
        <v>2</v>
      </c>
      <c r="C158" s="355">
        <v>29</v>
      </c>
      <c r="D158" s="355">
        <v>33</v>
      </c>
      <c r="E158" s="355">
        <f t="shared" si="0"/>
        <v>31</v>
      </c>
      <c r="F158" s="356">
        <v>10</v>
      </c>
      <c r="G158" s="357">
        <f t="shared" si="1"/>
        <v>310</v>
      </c>
      <c r="H158" s="358">
        <f t="shared" si="2"/>
        <v>672</v>
      </c>
    </row>
    <row r="159" spans="1:8">
      <c r="A159" s="353">
        <v>5</v>
      </c>
      <c r="B159" s="354">
        <v>2.5</v>
      </c>
      <c r="C159" s="355">
        <v>33</v>
      </c>
      <c r="D159" s="355">
        <v>38</v>
      </c>
      <c r="E159" s="355">
        <f t="shared" si="0"/>
        <v>35.5</v>
      </c>
      <c r="F159" s="356">
        <v>9</v>
      </c>
      <c r="G159" s="357">
        <f t="shared" si="1"/>
        <v>319.5</v>
      </c>
      <c r="H159" s="358">
        <f t="shared" si="2"/>
        <v>991.5</v>
      </c>
    </row>
    <row r="160" spans="1:8">
      <c r="A160" s="353">
        <v>6</v>
      </c>
      <c r="B160" s="354">
        <v>3</v>
      </c>
      <c r="C160" s="355">
        <v>38</v>
      </c>
      <c r="D160" s="355">
        <v>42</v>
      </c>
      <c r="E160" s="355">
        <f t="shared" si="0"/>
        <v>40</v>
      </c>
      <c r="F160" s="356">
        <v>8</v>
      </c>
      <c r="G160" s="357">
        <f t="shared" si="1"/>
        <v>320</v>
      </c>
      <c r="H160" s="358">
        <f t="shared" si="2"/>
        <v>1311.5</v>
      </c>
    </row>
    <row r="161" spans="1:8">
      <c r="A161" s="353">
        <v>7</v>
      </c>
      <c r="B161" s="354">
        <v>3.5</v>
      </c>
      <c r="C161" s="355">
        <v>42</v>
      </c>
      <c r="D161" s="355">
        <v>46</v>
      </c>
      <c r="E161" s="355">
        <f t="shared" si="0"/>
        <v>44</v>
      </c>
      <c r="F161" s="356">
        <v>7</v>
      </c>
      <c r="G161" s="357">
        <f t="shared" si="1"/>
        <v>308</v>
      </c>
      <c r="H161" s="358">
        <f t="shared" si="2"/>
        <v>1619.5</v>
      </c>
    </row>
    <row r="162" spans="1:8">
      <c r="A162" s="353">
        <v>8</v>
      </c>
      <c r="B162" s="354">
        <v>4</v>
      </c>
      <c r="C162" s="355">
        <v>46</v>
      </c>
      <c r="D162" s="355">
        <v>51</v>
      </c>
      <c r="E162" s="355">
        <f t="shared" si="0"/>
        <v>48.5</v>
      </c>
      <c r="F162" s="356">
        <v>6</v>
      </c>
      <c r="G162" s="357">
        <f t="shared" si="1"/>
        <v>291</v>
      </c>
      <c r="H162" s="358">
        <f t="shared" si="2"/>
        <v>1910.5</v>
      </c>
    </row>
    <row r="163" spans="1:8">
      <c r="A163" s="353">
        <v>9</v>
      </c>
      <c r="B163" s="354">
        <f>IF([3]DADOS!K86&lt;4.5, ,4.5)</f>
        <v>0</v>
      </c>
      <c r="C163" s="355">
        <v>51</v>
      </c>
      <c r="D163" s="355">
        <v>55</v>
      </c>
      <c r="E163" s="355">
        <f t="shared" si="0"/>
        <v>53</v>
      </c>
      <c r="F163" s="356">
        <v>5</v>
      </c>
      <c r="G163" s="357">
        <f t="shared" si="1"/>
        <v>265</v>
      </c>
      <c r="H163" s="358">
        <f t="shared" si="2"/>
        <v>2175.5</v>
      </c>
    </row>
    <row r="164" spans="1:8">
      <c r="A164" s="353">
        <v>10</v>
      </c>
      <c r="B164" s="354">
        <f>IF([3]DADOS!K86&lt;5, ,5)</f>
        <v>0</v>
      </c>
      <c r="C164" s="355">
        <v>55</v>
      </c>
      <c r="D164" s="355">
        <v>59</v>
      </c>
      <c r="E164" s="355">
        <f t="shared" si="0"/>
        <v>57</v>
      </c>
      <c r="F164" s="356">
        <v>4</v>
      </c>
      <c r="G164" s="357">
        <f t="shared" si="1"/>
        <v>228</v>
      </c>
      <c r="H164" s="358">
        <f t="shared" si="2"/>
        <v>2403.5</v>
      </c>
    </row>
    <row r="165" spans="1:8">
      <c r="A165" s="353">
        <v>11</v>
      </c>
      <c r="B165" s="354">
        <f>IF([3]DADOS!K86&lt;5.5, ,5.5)</f>
        <v>0</v>
      </c>
      <c r="C165" s="355">
        <v>59</v>
      </c>
      <c r="D165" s="355">
        <v>63</v>
      </c>
      <c r="E165" s="355">
        <f t="shared" si="0"/>
        <v>61</v>
      </c>
      <c r="F165" s="356">
        <v>4</v>
      </c>
      <c r="G165" s="357">
        <f t="shared" si="1"/>
        <v>244</v>
      </c>
      <c r="H165" s="358">
        <f t="shared" si="2"/>
        <v>2647.5</v>
      </c>
    </row>
    <row r="166" spans="1:8">
      <c r="A166" s="353">
        <v>12</v>
      </c>
      <c r="B166" s="354">
        <f>IF([3]DADOS!K86&lt;6, ,6)</f>
        <v>0</v>
      </c>
      <c r="C166" s="355">
        <v>63</v>
      </c>
      <c r="D166" s="355">
        <v>68</v>
      </c>
      <c r="E166" s="355">
        <f t="shared" si="0"/>
        <v>65.5</v>
      </c>
      <c r="F166" s="356">
        <v>4</v>
      </c>
      <c r="G166" s="357">
        <f t="shared" si="1"/>
        <v>262</v>
      </c>
      <c r="H166" s="358">
        <f t="shared" si="2"/>
        <v>2909.5</v>
      </c>
    </row>
    <row r="167" spans="1:8">
      <c r="A167" s="359"/>
      <c r="B167" s="360"/>
      <c r="C167" s="361"/>
      <c r="D167" s="361"/>
      <c r="E167" s="361"/>
      <c r="F167" s="362"/>
      <c r="G167" s="363"/>
      <c r="H167" s="364"/>
    </row>
    <row r="168" spans="1:8">
      <c r="A168" s="359"/>
      <c r="B168" s="360"/>
      <c r="C168" s="361"/>
      <c r="D168" s="361"/>
      <c r="E168" s="361"/>
      <c r="F168" s="362"/>
      <c r="G168" s="363"/>
      <c r="H168" s="364"/>
    </row>
    <row r="169" spans="1:8">
      <c r="A169" s="342"/>
      <c r="B169" s="365"/>
      <c r="C169" s="365"/>
      <c r="D169" s="365"/>
      <c r="E169" s="365"/>
      <c r="F169" s="365"/>
      <c r="G169" s="365"/>
      <c r="H169" s="365"/>
    </row>
    <row r="170" spans="1:8" ht="18" thickBot="1">
      <c r="A170" s="477" t="s">
        <v>371</v>
      </c>
      <c r="B170" s="477"/>
      <c r="C170" s="477"/>
      <c r="D170" s="477"/>
      <c r="E170" s="477"/>
      <c r="F170" s="477"/>
      <c r="G170" s="477"/>
      <c r="H170" s="366">
        <f>INT(SUM(G155:G166))</f>
        <v>2909</v>
      </c>
    </row>
    <row r="171" spans="1:8">
      <c r="A171" s="342" t="s">
        <v>362</v>
      </c>
      <c r="B171" s="367"/>
      <c r="C171" s="367"/>
      <c r="D171" s="367"/>
      <c r="E171" s="367"/>
      <c r="F171" s="367"/>
      <c r="G171" s="367"/>
      <c r="H171" s="367"/>
    </row>
    <row r="172" spans="1:8" ht="18" thickBot="1">
      <c r="A172" s="477" t="s">
        <v>372</v>
      </c>
      <c r="B172" s="477"/>
      <c r="C172" s="477"/>
      <c r="D172" s="477"/>
      <c r="E172" s="477"/>
      <c r="F172" s="477"/>
      <c r="G172" s="477"/>
      <c r="H172" s="368">
        <v>422</v>
      </c>
    </row>
    <row r="173" spans="1:8">
      <c r="A173" s="342"/>
      <c r="B173" s="367"/>
      <c r="C173" s="367"/>
      <c r="D173" s="367"/>
      <c r="E173" s="367"/>
      <c r="F173" s="367"/>
      <c r="G173" s="367"/>
      <c r="H173" s="367"/>
    </row>
    <row r="174" spans="1:8" ht="18" thickBot="1">
      <c r="A174" s="477" t="s">
        <v>373</v>
      </c>
      <c r="B174" s="477"/>
      <c r="C174" s="477"/>
      <c r="D174" s="477"/>
      <c r="E174" s="477"/>
      <c r="F174" s="477"/>
      <c r="G174" s="477"/>
      <c r="H174" s="368">
        <v>324</v>
      </c>
    </row>
    <row r="175" spans="1:8" ht="18">
      <c r="A175" s="342"/>
      <c r="B175" s="342"/>
      <c r="C175" s="369"/>
      <c r="D175" s="342"/>
      <c r="E175" s="342"/>
      <c r="F175" s="342"/>
      <c r="G175" s="342"/>
      <c r="H175" s="342"/>
    </row>
    <row r="176" spans="1:8" ht="17.25" thickBot="1">
      <c r="A176" s="478" t="s">
        <v>363</v>
      </c>
      <c r="B176" s="478"/>
      <c r="C176" s="478"/>
      <c r="D176" s="478"/>
      <c r="E176" s="478"/>
      <c r="F176" s="478"/>
      <c r="G176" s="478"/>
      <c r="H176" s="370">
        <f>INT(H170+H172+H174)</f>
        <v>3655</v>
      </c>
    </row>
    <row r="177" ht="15.75" thickTop="1"/>
  </sheetData>
  <mergeCells count="65">
    <mergeCell ref="B152:H152"/>
    <mergeCell ref="A153:A154"/>
    <mergeCell ref="B153:B154"/>
    <mergeCell ref="C153:C154"/>
    <mergeCell ref="D153:D154"/>
    <mergeCell ref="E153:E154"/>
    <mergeCell ref="F153:F154"/>
    <mergeCell ref="A52:C52"/>
    <mergeCell ref="A53:C53"/>
    <mergeCell ref="A54:C54"/>
    <mergeCell ref="A55:C55"/>
    <mergeCell ref="A144:H144"/>
    <mergeCell ref="A78:K78"/>
    <mergeCell ref="A80:K81"/>
    <mergeCell ref="A82:A83"/>
    <mergeCell ref="B82:B83"/>
    <mergeCell ref="C82:K82"/>
    <mergeCell ref="G153:H153"/>
    <mergeCell ref="A170:G170"/>
    <mergeCell ref="A172:G172"/>
    <mergeCell ref="A174:G174"/>
    <mergeCell ref="A176:G176"/>
    <mergeCell ref="A75:C75"/>
    <mergeCell ref="A76:C76"/>
    <mergeCell ref="H7:H8"/>
    <mergeCell ref="I7:J7"/>
    <mergeCell ref="R7:W7"/>
    <mergeCell ref="A30:G30"/>
    <mergeCell ref="A19:F19"/>
    <mergeCell ref="A15:D15"/>
    <mergeCell ref="A17:E17"/>
    <mergeCell ref="A68:C68"/>
    <mergeCell ref="A69:C69"/>
    <mergeCell ref="A70:C70"/>
    <mergeCell ref="A71:C71"/>
    <mergeCell ref="A72:C72"/>
    <mergeCell ref="A73:C73"/>
    <mergeCell ref="A62:C62"/>
    <mergeCell ref="X7:AB7"/>
    <mergeCell ref="A7:G7"/>
    <mergeCell ref="A9:G9"/>
    <mergeCell ref="A11:G11"/>
    <mergeCell ref="A74:C74"/>
    <mergeCell ref="A63:C63"/>
    <mergeCell ref="A64:C64"/>
    <mergeCell ref="A65:C65"/>
    <mergeCell ref="A66:C66"/>
    <mergeCell ref="A67:C67"/>
    <mergeCell ref="A56:C56"/>
    <mergeCell ref="A57:C57"/>
    <mergeCell ref="A58:C58"/>
    <mergeCell ref="A59:C59"/>
    <mergeCell ref="A60:C60"/>
    <mergeCell ref="A61:C61"/>
    <mergeCell ref="B1:I1"/>
    <mergeCell ref="B2:I2"/>
    <mergeCell ref="B3:I3"/>
    <mergeCell ref="A5:I5"/>
    <mergeCell ref="A46:F46"/>
    <mergeCell ref="A40:G41"/>
    <mergeCell ref="A43:G44"/>
    <mergeCell ref="A45:F45"/>
    <mergeCell ref="A34:E34"/>
    <mergeCell ref="A36:E36"/>
    <mergeCell ref="A39:G39"/>
  </mergeCells>
  <pageMargins left="0.511811024" right="0.511811024" top="0.78740157499999996" bottom="0.78740157499999996" header="0.31496062000000002" footer="0.31496062000000002"/>
  <pageSetup paperSize="9" scale="34" fitToHeight="0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2</xdr:col>
                <xdr:colOff>219075</xdr:colOff>
                <xdr:row>128</xdr:row>
                <xdr:rowOff>104775</xdr:rowOff>
              </from>
              <to>
                <xdr:col>9</xdr:col>
                <xdr:colOff>466725</xdr:colOff>
                <xdr:row>133</xdr:row>
                <xdr:rowOff>85725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showGridLines="0" tabSelected="1" view="pageBreakPreview" zoomScale="106" zoomScaleNormal="100" zoomScaleSheetLayoutView="106" workbookViewId="0">
      <selection activeCell="I144" sqref="I144"/>
    </sheetView>
  </sheetViews>
  <sheetFormatPr defaultColWidth="9.140625" defaultRowHeight="12.75"/>
  <cols>
    <col min="1" max="1" width="9.28515625" style="403" customWidth="1"/>
    <col min="2" max="2" width="54.28515625" style="403" customWidth="1"/>
    <col min="3" max="3" width="7.42578125" style="403" customWidth="1"/>
    <col min="4" max="4" width="40.140625" style="403" customWidth="1"/>
    <col min="5" max="5" width="14.85546875" style="403" customWidth="1"/>
    <col min="6" max="6" width="9.140625" style="403"/>
    <col min="7" max="7" width="15.42578125" style="403" customWidth="1"/>
    <col min="8" max="10" width="9.140625" style="403"/>
    <col min="11" max="11" width="13.28515625" style="403" customWidth="1"/>
    <col min="12" max="16384" width="9.140625" style="403"/>
  </cols>
  <sheetData>
    <row r="1" spans="1:17" ht="18" customHeight="1">
      <c r="A1" s="402"/>
      <c r="B1" s="498" t="s">
        <v>101</v>
      </c>
      <c r="C1" s="498"/>
      <c r="D1" s="498"/>
      <c r="E1" s="499"/>
    </row>
    <row r="2" spans="1:17" ht="18" customHeight="1">
      <c r="A2" s="404"/>
      <c r="B2" s="500" t="s">
        <v>303</v>
      </c>
      <c r="C2" s="500"/>
      <c r="D2" s="500"/>
      <c r="E2" s="501"/>
    </row>
    <row r="3" spans="1:17" ht="18" customHeight="1">
      <c r="A3" s="404"/>
      <c r="B3" s="500" t="s">
        <v>103</v>
      </c>
      <c r="C3" s="500"/>
      <c r="D3" s="500"/>
      <c r="E3" s="501"/>
    </row>
    <row r="4" spans="1:17" ht="12.75" customHeight="1">
      <c r="A4" s="405"/>
      <c r="B4" s="406"/>
      <c r="C4" s="406"/>
      <c r="D4" s="406"/>
      <c r="E4" s="407"/>
    </row>
    <row r="5" spans="1:17" ht="46.5" customHeight="1">
      <c r="A5" s="502" t="str">
        <f>'Planilha - BARRAGEM'!A5:I5</f>
        <v>EXECUÇÃO DE OBRAS E SERVIÇOS PARA CONSTRUÇÃO DE BARRAGENS DE TERRA VISANDO ATENDER AS COMUNIDADES DA LAPINHA E MONTE ALTO NO MUNICÍPIO DE ANAGÉ, NO ESTADO DA BAHIA, NA ÁREA DE ATUAÇÃO DA 2ª SUPERINTENDÊNCIA REGIONAL</v>
      </c>
      <c r="B5" s="503"/>
      <c r="C5" s="503"/>
      <c r="D5" s="503"/>
      <c r="E5" s="504"/>
      <c r="F5" s="408"/>
      <c r="G5" s="403" t="s">
        <v>304</v>
      </c>
      <c r="H5" s="403">
        <v>850</v>
      </c>
      <c r="I5" s="403" t="s">
        <v>66</v>
      </c>
    </row>
    <row r="6" spans="1:17" ht="18.75" thickBot="1">
      <c r="A6" s="409"/>
      <c r="B6" s="410"/>
      <c r="C6" s="411"/>
      <c r="D6" s="411"/>
      <c r="E6" s="412"/>
      <c r="G6" s="403" t="s">
        <v>305</v>
      </c>
      <c r="H6" s="413">
        <v>1.5</v>
      </c>
      <c r="I6" s="403" t="s">
        <v>66</v>
      </c>
    </row>
    <row r="7" spans="1:17" ht="21.95" customHeight="1">
      <c r="A7" s="505" t="s">
        <v>314</v>
      </c>
      <c r="B7" s="505"/>
      <c r="C7" s="505"/>
      <c r="D7" s="505"/>
      <c r="E7" s="505"/>
      <c r="G7" s="403" t="s">
        <v>306</v>
      </c>
      <c r="H7" s="403">
        <v>2</v>
      </c>
      <c r="I7" s="403" t="s">
        <v>37</v>
      </c>
    </row>
    <row r="8" spans="1:17" ht="21.95" customHeight="1">
      <c r="A8" s="322">
        <f>'Planilha - BARRAGEM'!A21</f>
        <v>2</v>
      </c>
      <c r="B8" s="323" t="str">
        <f>'Planilha - BARRAGEM'!D21</f>
        <v>LIMPEZA DA ÁREA DA BACIA HIDRÁULICA</v>
      </c>
      <c r="C8" s="496"/>
      <c r="D8" s="496"/>
      <c r="E8" s="496"/>
      <c r="G8" s="403" t="s">
        <v>307</v>
      </c>
      <c r="H8" s="413">
        <f>H5*H6*H7</f>
        <v>2550</v>
      </c>
      <c r="I8" s="403" t="s">
        <v>43</v>
      </c>
      <c r="O8" s="403">
        <v>10.07</v>
      </c>
      <c r="Q8" s="403" t="e">
        <f>M8+M9-O8-O9-#REF!-O10-O11-O14-O15-O16-O18</f>
        <v>#REF!</v>
      </c>
    </row>
    <row r="9" spans="1:17" ht="38.25">
      <c r="A9" s="324" t="str">
        <f>'Planilha - BARRAGEM'!A22</f>
        <v>2.1</v>
      </c>
      <c r="B9" s="325" t="str">
        <f>'Planilha - BARRAGEM'!D22</f>
        <v>Limpeza mecanizada de camada vegetal, vegetação e pequenas árvores (diâmetro de tronco menor que 0,20 m), com trator de esteiras.af_05/2018</v>
      </c>
      <c r="C9" s="326" t="str">
        <f>'Planilha - BARRAGEM'!E22</f>
        <v>m²</v>
      </c>
      <c r="D9" s="414" t="s">
        <v>396</v>
      </c>
      <c r="E9" s="328">
        <v>4266</v>
      </c>
      <c r="F9" s="408"/>
      <c r="H9" s="413"/>
      <c r="O9" s="403">
        <v>47.46</v>
      </c>
    </row>
    <row r="10" spans="1:17" ht="21.95" customHeight="1">
      <c r="A10" s="322">
        <f>'Planilha - BARRAGEM'!A24</f>
        <v>3</v>
      </c>
      <c r="B10" s="323" t="str">
        <f>'Planilha - BARRAGEM'!D24</f>
        <v>BARRAGEM - LAPINHA</v>
      </c>
      <c r="C10" s="496"/>
      <c r="D10" s="496"/>
      <c r="E10" s="496"/>
      <c r="O10" s="403">
        <v>11.87</v>
      </c>
    </row>
    <row r="11" spans="1:17">
      <c r="A11" s="322" t="str">
        <f>'Planilha - BARRAGEM'!A25</f>
        <v>3.1</v>
      </c>
      <c r="B11" s="329" t="str">
        <f>'Planilha - BARRAGEM'!B25</f>
        <v>Maciço do barramento, fundação e drenagem</v>
      </c>
      <c r="C11" s="326"/>
      <c r="D11" s="327"/>
      <c r="E11" s="327"/>
      <c r="F11" s="408"/>
      <c r="I11" s="408"/>
      <c r="J11" s="408"/>
      <c r="L11" s="408"/>
      <c r="M11" s="408"/>
      <c r="O11" s="403">
        <v>14.44</v>
      </c>
    </row>
    <row r="12" spans="1:17" ht="38.25">
      <c r="A12" s="324" t="str">
        <f>'Planilha - BARRAGEM'!A26</f>
        <v>3.1.1</v>
      </c>
      <c r="B12" s="325" t="str">
        <f>'Planilha - BARRAGEM'!D26</f>
        <v>Escavação horizontal, incluindo carga e descarga em solo de 1a. Categoria com trator de esteira (347 HP com lâmina 8,7 m³)</v>
      </c>
      <c r="C12" s="326" t="str">
        <f>'Planilha - BARRAGEM'!E26</f>
        <v>m³</v>
      </c>
      <c r="D12" s="414" t="s">
        <v>397</v>
      </c>
      <c r="E12" s="327">
        <f>ROUND('M. C. 01 '!H172*0.8,2)</f>
        <v>337.6</v>
      </c>
      <c r="F12" s="403" t="s">
        <v>308</v>
      </c>
      <c r="G12" s="403" t="s">
        <v>309</v>
      </c>
      <c r="H12" s="403">
        <f>H3*H16*H13*H14</f>
        <v>0</v>
      </c>
      <c r="I12" s="403" t="s">
        <v>56</v>
      </c>
      <c r="J12" s="403" t="s">
        <v>310</v>
      </c>
      <c r="K12" s="403">
        <f>(H5*H7)-10*20</f>
        <v>1500</v>
      </c>
      <c r="L12" s="408"/>
      <c r="M12" s="408"/>
      <c r="O12" s="403">
        <v>5.73</v>
      </c>
    </row>
    <row r="13" spans="1:17" ht="38.25">
      <c r="A13" s="324" t="str">
        <f>'Planilha - BARRAGEM'!A27</f>
        <v>3.1.2</v>
      </c>
      <c r="B13" s="325" t="str">
        <f>'Planilha - BARRAGEM'!D27</f>
        <v>Escavação horizontal, incluindo escarificação, carga e descarga em solo de 2a. Categoria com trator de esteira 347 HP com lâmina 8,7 m³</v>
      </c>
      <c r="C13" s="326" t="str">
        <f>'Planilha - BARRAGEM'!E27</f>
        <v>m³</v>
      </c>
      <c r="D13" s="414" t="s">
        <v>398</v>
      </c>
      <c r="E13" s="327">
        <f>ROUND('M. C. 01 '!H172*0.2,2)</f>
        <v>84.4</v>
      </c>
      <c r="G13" s="403" t="s">
        <v>305</v>
      </c>
      <c r="H13" s="403">
        <v>0.15</v>
      </c>
      <c r="I13" s="403" t="s">
        <v>66</v>
      </c>
      <c r="J13" s="408"/>
      <c r="M13" s="408"/>
      <c r="O13" s="403">
        <v>22.46</v>
      </c>
    </row>
    <row r="14" spans="1:17" ht="63.75">
      <c r="A14" s="324" t="str">
        <f>'Planilha - BARRAGEM'!A28</f>
        <v>3.1.3</v>
      </c>
      <c r="B14" s="325" t="str">
        <f>'Planilha - BARRAGEM'!D28</f>
        <v>Escavação vertical a céu aberto, em obras de infraestrutura, incluindo carga, descarga e transporte, em solo de 1a. Categoria com escavadeira hidráulica (caçamba 0,8 m³/ 111 HP) frota de 3 caminhões basculante de 14 m³, DMT até 1 km e velocidade média de 14 km/h</v>
      </c>
      <c r="C14" s="326" t="str">
        <f>'Planilha - BARRAGEM'!E28</f>
        <v>m³</v>
      </c>
      <c r="D14" s="414" t="s">
        <v>399</v>
      </c>
      <c r="E14" s="327">
        <f>ROUND(('M. C. 01 '!H170+'M. C. 01 '!H172)/0.9,2)</f>
        <v>3701.11</v>
      </c>
      <c r="F14" s="403" t="s">
        <v>308</v>
      </c>
      <c r="G14" s="403" t="s">
        <v>309</v>
      </c>
      <c r="H14" s="403">
        <f>K12*H15*H16</f>
        <v>33.75</v>
      </c>
      <c r="I14" s="403" t="s">
        <v>56</v>
      </c>
      <c r="J14" s="403">
        <f>(H8*46)/800</f>
        <v>146.625</v>
      </c>
      <c r="L14" s="408">
        <f>K12/2</f>
        <v>750</v>
      </c>
      <c r="M14" s="408"/>
      <c r="O14" s="403">
        <v>5.73</v>
      </c>
    </row>
    <row r="15" spans="1:17" ht="25.5">
      <c r="A15" s="324" t="str">
        <f>'Planilha - BARRAGEM'!A29</f>
        <v>3.1.4</v>
      </c>
      <c r="B15" s="325" t="str">
        <f>'Planilha - BARRAGEM'!D29</f>
        <v>Compactação de aterro com rolo vibratório pé de carneiro ou pata tamping de &gt;= 95 a 100% de proctor normal</v>
      </c>
      <c r="C15" s="326" t="str">
        <f>'Planilha - BARRAGEM'!E29</f>
        <v>m³</v>
      </c>
      <c r="D15" s="414" t="s">
        <v>400</v>
      </c>
      <c r="E15" s="327">
        <f>'M. C. 01 '!H170+'M. C. 01 '!H172</f>
        <v>3331</v>
      </c>
      <c r="G15" s="403" t="s">
        <v>305</v>
      </c>
      <c r="H15" s="403">
        <v>0.15</v>
      </c>
      <c r="I15" s="403" t="s">
        <v>66</v>
      </c>
      <c r="J15" s="408"/>
      <c r="M15" s="408"/>
      <c r="O15" s="403">
        <v>22.46</v>
      </c>
    </row>
    <row r="16" spans="1:17" ht="25.5">
      <c r="A16" s="324" t="str">
        <f>'Planilha - BARRAGEM'!A30</f>
        <v>3.1.5</v>
      </c>
      <c r="B16" s="325" t="str">
        <f>'Planilha - BARRAGEM'!D30</f>
        <v>Meio-fio de concreto - MFC 03 - areia e brita comerciais - fôrma de madeira</v>
      </c>
      <c r="C16" s="326" t="str">
        <f>'Planilha - BARRAGEM'!E30</f>
        <v>m</v>
      </c>
      <c r="D16" s="414" t="s">
        <v>401</v>
      </c>
      <c r="E16" s="328">
        <v>136</v>
      </c>
      <c r="G16" s="403" t="s">
        <v>311</v>
      </c>
      <c r="H16" s="403">
        <v>0.15</v>
      </c>
      <c r="I16" s="403" t="s">
        <v>66</v>
      </c>
      <c r="J16" s="408"/>
      <c r="M16" s="408"/>
      <c r="O16" s="403">
        <f>1.03+1+2.41+2.48</f>
        <v>6.92</v>
      </c>
    </row>
    <row r="17" spans="1:15" ht="25.5">
      <c r="A17" s="324" t="str">
        <f>'Planilha - BARRAGEM'!A31</f>
        <v>3.1.6</v>
      </c>
      <c r="B17" s="325" t="str">
        <f>'Planilha - BARRAGEM'!D31</f>
        <v xml:space="preserve">Calha meia cana pré-moldada de concreto (d=20 cm) - fornecimento e instalação </v>
      </c>
      <c r="C17" s="326" t="str">
        <f>'Planilha - BARRAGEM'!E31</f>
        <v>m²</v>
      </c>
      <c r="D17" s="414" t="s">
        <v>401</v>
      </c>
      <c r="E17" s="328">
        <v>29.52</v>
      </c>
      <c r="G17" s="403" t="s">
        <v>311</v>
      </c>
      <c r="H17" s="403">
        <v>0.15</v>
      </c>
      <c r="I17" s="403" t="s">
        <v>66</v>
      </c>
      <c r="J17" s="408"/>
      <c r="M17" s="408"/>
      <c r="O17" s="403">
        <f>1.03+1+2.41+2.48</f>
        <v>6.92</v>
      </c>
    </row>
    <row r="18" spans="1:15" ht="25.5">
      <c r="A18" s="324" t="str">
        <f>'Planilha - BARRAGEM'!A32</f>
        <v>3.1.7</v>
      </c>
      <c r="B18" s="325" t="str">
        <f>'Planilha - BARRAGEM'!D32</f>
        <v xml:space="preserve">Revestimento vegetal com grama em mudas em superfícies inclinadas </v>
      </c>
      <c r="C18" s="326" t="str">
        <f>'Planilha - BARRAGEM'!E32</f>
        <v>m²</v>
      </c>
      <c r="D18" s="414" t="s">
        <v>401</v>
      </c>
      <c r="E18" s="328">
        <v>143</v>
      </c>
      <c r="G18" s="403" t="s">
        <v>312</v>
      </c>
      <c r="H18" s="403">
        <v>2</v>
      </c>
      <c r="I18" s="408"/>
      <c r="O18" s="403">
        <v>2.2400000000000002</v>
      </c>
    </row>
    <row r="19" spans="1:15">
      <c r="A19" s="322" t="str">
        <f>'Planilha - BARRAGEM'!A34</f>
        <v>3.2</v>
      </c>
      <c r="B19" s="329" t="str">
        <f>'Planilha - BARRAGEM'!B34</f>
        <v>Sangradouro</v>
      </c>
      <c r="C19" s="326"/>
      <c r="D19" s="327"/>
      <c r="E19" s="327"/>
      <c r="F19" s="408"/>
      <c r="I19" s="408"/>
      <c r="J19" s="408"/>
      <c r="L19" s="408"/>
      <c r="M19" s="408"/>
    </row>
    <row r="20" spans="1:15" ht="38.25">
      <c r="A20" s="324" t="str">
        <f>'Planilha - BARRAGEM'!A35</f>
        <v>3.2.1</v>
      </c>
      <c r="B20" s="325" t="str">
        <f>'Planilha - BARRAGEM'!D35</f>
        <v>Escavação horizontal, incluindo carga e descarga em solo de 1a. Categoria com trator de esteira (347 HP com lâmina 8,7 m³)</v>
      </c>
      <c r="C20" s="326" t="str">
        <f>'Planilha - BARRAGEM'!E35</f>
        <v>m³</v>
      </c>
      <c r="D20" s="414" t="s">
        <v>402</v>
      </c>
      <c r="E20" s="328">
        <f>ROUND('M. C. 01 '!H174*0.8,2)</f>
        <v>259.2</v>
      </c>
      <c r="I20" s="408"/>
      <c r="J20" s="408"/>
      <c r="M20" s="408"/>
    </row>
    <row r="21" spans="1:15" ht="38.25">
      <c r="A21" s="324" t="str">
        <f>'Planilha - BARRAGEM'!A36</f>
        <v>3.2.2</v>
      </c>
      <c r="B21" s="325" t="str">
        <f>'Planilha - BARRAGEM'!D36</f>
        <v>Escavação horizontal, incluindo escarificação, carga e descarga em solo de 2a. Categoria com trator de esteira 347 HP com lâmina 8,7 m³</v>
      </c>
      <c r="C21" s="326" t="str">
        <f>'Planilha - BARRAGEM'!E36</f>
        <v>m³</v>
      </c>
      <c r="D21" s="414" t="s">
        <v>403</v>
      </c>
      <c r="E21" s="328">
        <f>ROUND('M. C. 01 '!H174*0.2,2)</f>
        <v>64.8</v>
      </c>
      <c r="G21" s="403" t="s">
        <v>311</v>
      </c>
      <c r="H21" s="403">
        <v>0.15</v>
      </c>
      <c r="I21" s="403" t="s">
        <v>66</v>
      </c>
      <c r="J21" s="408"/>
      <c r="M21" s="408"/>
      <c r="O21" s="403">
        <f>1.03+1+2.41+2.48</f>
        <v>6.92</v>
      </c>
    </row>
    <row r="22" spans="1:15">
      <c r="A22" s="324" t="str">
        <f>'Planilha - BARRAGEM'!A37</f>
        <v>3.2.3</v>
      </c>
      <c r="B22" s="325" t="str">
        <f>'Planilha - BARRAGEM'!D37</f>
        <v>Escavação de vala em material de 3a. Categoria</v>
      </c>
      <c r="C22" s="326" t="str">
        <f>'Planilha - BARRAGEM'!E37</f>
        <v>m³</v>
      </c>
      <c r="D22" s="414" t="s">
        <v>401</v>
      </c>
      <c r="E22" s="328">
        <v>15.66</v>
      </c>
      <c r="G22" s="403" t="s">
        <v>311</v>
      </c>
      <c r="H22" s="403">
        <v>0.15</v>
      </c>
      <c r="I22" s="403" t="s">
        <v>66</v>
      </c>
      <c r="J22" s="408"/>
      <c r="M22" s="408"/>
      <c r="O22" s="403">
        <f>1.03+1+2.41+2.48</f>
        <v>6.92</v>
      </c>
    </row>
    <row r="23" spans="1:15" ht="39" thickBot="1">
      <c r="A23" s="324" t="str">
        <f>'Planilha - BARRAGEM'!A38</f>
        <v>3.2.4</v>
      </c>
      <c r="B23" s="325" t="str">
        <f>'Planilha - BARRAGEM'!D38</f>
        <v>Alvenaria pedra granitica argamassada traço (1:5) - 1 saco de cimento 50 kg / 5 padiolas areia dim. 0,35 x 0,45 x 0,23 - confecção mecânica e transporte</v>
      </c>
      <c r="C23" s="326" t="str">
        <f>'Planilha - BARRAGEM'!E38</f>
        <v>m³</v>
      </c>
      <c r="D23" s="414" t="s">
        <v>401</v>
      </c>
      <c r="E23" s="328">
        <v>67.63</v>
      </c>
      <c r="G23" s="403" t="s">
        <v>312</v>
      </c>
      <c r="H23" s="403">
        <v>2</v>
      </c>
      <c r="I23" s="408"/>
      <c r="O23" s="403">
        <v>2.2400000000000002</v>
      </c>
    </row>
    <row r="24" spans="1:15" ht="33" customHeight="1">
      <c r="A24" s="497" t="s">
        <v>313</v>
      </c>
      <c r="B24" s="497"/>
      <c r="C24" s="497"/>
      <c r="D24" s="497"/>
      <c r="E24" s="497"/>
    </row>
  </sheetData>
  <mergeCells count="8">
    <mergeCell ref="C10:E10"/>
    <mergeCell ref="A24:E24"/>
    <mergeCell ref="B1:E1"/>
    <mergeCell ref="B2:E2"/>
    <mergeCell ref="B3:E3"/>
    <mergeCell ref="A5:E5"/>
    <mergeCell ref="A7:E7"/>
    <mergeCell ref="C8:E8"/>
  </mergeCells>
  <pageMargins left="0.511811024" right="0.511811024" top="0.78740157499999996" bottom="0.78740157499999996" header="0.31496062000000002" footer="0.31496062000000002"/>
  <pageSetup paperSize="9" scale="74" fitToHeight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GridLines="0" tabSelected="1" view="pageBreakPreview" zoomScale="106" zoomScaleNormal="100" zoomScaleSheetLayoutView="106" workbookViewId="0">
      <selection activeCell="I144" sqref="I144"/>
    </sheetView>
  </sheetViews>
  <sheetFormatPr defaultColWidth="9.140625" defaultRowHeight="12.75"/>
  <cols>
    <col min="1" max="1" width="9.140625" style="182"/>
    <col min="2" max="2" width="27.5703125" style="182" customWidth="1"/>
    <col min="3" max="6" width="9.140625" style="182"/>
    <col min="7" max="7" width="14.42578125" style="182" customWidth="1"/>
    <col min="8" max="10" width="9.140625" style="182"/>
    <col min="11" max="11" width="8.28515625" style="182" customWidth="1"/>
    <col min="12" max="16384" width="9.140625" style="182"/>
  </cols>
  <sheetData>
    <row r="1" spans="1:14" s="181" customFormat="1" ht="12.75" customHeight="1">
      <c r="A1" s="514" t="s">
        <v>101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6"/>
    </row>
    <row r="2" spans="1:14" s="181" customFormat="1" ht="12.75" customHeight="1">
      <c r="A2" s="514" t="s">
        <v>118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  <c r="M2" s="515"/>
      <c r="N2" s="516"/>
    </row>
    <row r="3" spans="1:14" s="181" customFormat="1" ht="12.75" customHeight="1">
      <c r="A3" s="514" t="s">
        <v>103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6"/>
    </row>
    <row r="4" spans="1:14">
      <c r="A4" s="183"/>
      <c r="B4" s="184"/>
      <c r="C4" s="184"/>
      <c r="D4" s="185"/>
      <c r="E4" s="185"/>
      <c r="F4" s="186"/>
      <c r="G4" s="187"/>
      <c r="H4" s="187"/>
      <c r="I4" s="187"/>
      <c r="J4" s="187"/>
      <c r="K4" s="187"/>
      <c r="L4" s="187"/>
      <c r="M4" s="187"/>
      <c r="N4" s="213"/>
    </row>
    <row r="5" spans="1:14" ht="54" customHeight="1">
      <c r="A5" s="517" t="str">
        <f>'Planilha - BARRAGEM'!A5:I5</f>
        <v>EXECUÇÃO DE OBRAS E SERVIÇOS PARA CONSTRUÇÃO DE BARRAGENS DE TERRA VISANDO ATENDER AS COMUNIDADES DA LAPINHA E MONTE ALTO NO MUNICÍPIO DE ANAGÉ, NO ESTADO DA BAHIA, NA ÁREA DE ATUAÇÃO DA 2ª SUPERINTENDÊNCIA REGIONAL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18"/>
      <c r="M5" s="518"/>
      <c r="N5" s="519"/>
    </row>
    <row r="6" spans="1:14">
      <c r="A6" s="188"/>
      <c r="B6" s="189"/>
      <c r="C6" s="189"/>
      <c r="D6" s="190"/>
      <c r="E6" s="191"/>
      <c r="F6" s="192"/>
      <c r="G6" s="192"/>
      <c r="H6" s="192"/>
      <c r="I6" s="192"/>
      <c r="J6" s="187"/>
      <c r="K6" s="187"/>
      <c r="L6" s="187"/>
      <c r="M6" s="187"/>
      <c r="N6" s="213"/>
    </row>
    <row r="7" spans="1:14" ht="26.25" customHeight="1">
      <c r="A7" s="511" t="s">
        <v>119</v>
      </c>
      <c r="B7" s="512"/>
      <c r="C7" s="512"/>
      <c r="D7" s="512"/>
      <c r="E7" s="512"/>
      <c r="F7" s="512"/>
      <c r="G7" s="512"/>
      <c r="H7" s="512"/>
      <c r="I7" s="512"/>
      <c r="J7" s="512"/>
      <c r="K7" s="512"/>
      <c r="L7" s="512"/>
      <c r="M7" s="512"/>
      <c r="N7" s="513"/>
    </row>
    <row r="8" spans="1:14" ht="12.75" customHeight="1">
      <c r="A8" s="511"/>
      <c r="B8" s="512"/>
      <c r="C8" s="512"/>
      <c r="D8" s="512"/>
      <c r="E8" s="512"/>
      <c r="F8" s="512"/>
      <c r="G8" s="512"/>
      <c r="H8" s="512"/>
      <c r="I8" s="512"/>
      <c r="J8" s="512"/>
      <c r="K8" s="512"/>
      <c r="L8" s="512"/>
      <c r="M8" s="512"/>
      <c r="N8" s="513"/>
    </row>
    <row r="9" spans="1:14">
      <c r="A9" s="193"/>
      <c r="B9" s="194"/>
      <c r="C9" s="520" t="s">
        <v>120</v>
      </c>
      <c r="D9" s="520"/>
      <c r="E9" s="520"/>
      <c r="F9" s="520"/>
      <c r="G9" s="520"/>
      <c r="H9" s="520"/>
      <c r="I9" s="520"/>
      <c r="J9" s="520"/>
      <c r="K9" s="187"/>
      <c r="L9" s="187"/>
      <c r="M9" s="187"/>
      <c r="N9" s="213"/>
    </row>
    <row r="10" spans="1:14" ht="20.25">
      <c r="A10" s="506"/>
      <c r="B10" s="507"/>
      <c r="C10" s="507"/>
      <c r="D10" s="507"/>
      <c r="E10" s="507"/>
      <c r="F10" s="507"/>
      <c r="G10" s="507"/>
      <c r="H10" s="507"/>
      <c r="I10" s="507"/>
      <c r="J10" s="507"/>
      <c r="K10" s="507"/>
      <c r="L10" s="507"/>
      <c r="M10" s="507"/>
      <c r="N10" s="508"/>
    </row>
    <row r="11" spans="1:14" ht="23.25">
      <c r="A11" s="195"/>
      <c r="B11" s="196"/>
      <c r="C11" s="196"/>
      <c r="D11" s="196"/>
      <c r="E11" s="196"/>
      <c r="F11" s="196"/>
      <c r="G11" s="187"/>
      <c r="H11" s="187"/>
      <c r="I11" s="187"/>
      <c r="J11" s="187"/>
      <c r="K11" s="187"/>
      <c r="L11" s="187"/>
      <c r="M11" s="187"/>
      <c r="N11" s="213"/>
    </row>
    <row r="12" spans="1:14">
      <c r="A12" s="197" t="s">
        <v>121</v>
      </c>
      <c r="B12" s="198"/>
      <c r="C12" s="199" t="s">
        <v>122</v>
      </c>
      <c r="D12" s="198"/>
      <c r="E12" s="200"/>
      <c r="F12" s="200"/>
      <c r="G12" s="187"/>
      <c r="H12" s="187"/>
      <c r="I12" s="187"/>
      <c r="J12" s="187"/>
      <c r="K12" s="187"/>
      <c r="L12" s="187"/>
      <c r="M12" s="187"/>
      <c r="N12" s="213"/>
    </row>
    <row r="13" spans="1:14">
      <c r="A13" s="197" t="s">
        <v>123</v>
      </c>
      <c r="B13" s="198"/>
      <c r="C13" s="199" t="s">
        <v>124</v>
      </c>
      <c r="D13" s="198"/>
      <c r="E13" s="200"/>
      <c r="F13" s="200"/>
      <c r="G13" s="187"/>
      <c r="H13" s="187"/>
      <c r="I13" s="187"/>
      <c r="J13" s="187"/>
      <c r="K13" s="187"/>
      <c r="L13" s="187"/>
      <c r="M13" s="187"/>
      <c r="N13" s="213"/>
    </row>
    <row r="14" spans="1:14">
      <c r="A14" s="201" t="s">
        <v>125</v>
      </c>
      <c r="B14" s="202"/>
      <c r="C14" s="203">
        <v>70</v>
      </c>
      <c r="D14" s="202" t="s">
        <v>126</v>
      </c>
      <c r="E14" s="187"/>
      <c r="F14" s="187"/>
      <c r="G14" s="187"/>
      <c r="H14" s="187"/>
      <c r="I14" s="187"/>
      <c r="J14" s="187"/>
      <c r="K14" s="187"/>
      <c r="L14" s="187"/>
      <c r="M14" s="187"/>
      <c r="N14" s="213"/>
    </row>
    <row r="15" spans="1:14">
      <c r="A15" s="201"/>
      <c r="B15" s="202"/>
      <c r="C15" s="204"/>
      <c r="D15" s="202"/>
      <c r="E15" s="187"/>
      <c r="F15" s="187"/>
      <c r="G15" s="187"/>
      <c r="H15" s="187"/>
      <c r="I15" s="187"/>
      <c r="J15" s="187"/>
      <c r="K15" s="187"/>
      <c r="L15" s="187"/>
      <c r="M15" s="187"/>
      <c r="N15" s="213"/>
    </row>
    <row r="16" spans="1:14">
      <c r="A16" s="201" t="s">
        <v>127</v>
      </c>
      <c r="B16" s="202"/>
      <c r="C16" s="205">
        <f>SUM(C14:C15)</f>
        <v>70</v>
      </c>
      <c r="D16" s="202" t="s">
        <v>126</v>
      </c>
      <c r="E16" s="187"/>
      <c r="F16" s="187"/>
      <c r="G16" s="187"/>
      <c r="H16" s="187"/>
      <c r="I16" s="187"/>
      <c r="J16" s="187"/>
      <c r="K16" s="187"/>
      <c r="L16" s="187"/>
      <c r="M16" s="187"/>
      <c r="N16" s="213"/>
    </row>
    <row r="17" spans="1:14">
      <c r="A17" s="201"/>
      <c r="B17" s="202"/>
      <c r="C17" s="202"/>
      <c r="D17" s="202"/>
      <c r="E17" s="187"/>
      <c r="F17" s="187"/>
      <c r="G17" s="187"/>
      <c r="H17" s="187"/>
      <c r="I17" s="187"/>
      <c r="J17" s="187"/>
      <c r="K17" s="187"/>
      <c r="L17" s="187"/>
      <c r="M17" s="187"/>
      <c r="N17" s="213"/>
    </row>
    <row r="18" spans="1:14">
      <c r="A18" s="201" t="s">
        <v>128</v>
      </c>
      <c r="B18" s="202"/>
      <c r="C18" s="202" t="s">
        <v>129</v>
      </c>
      <c r="D18" s="202"/>
      <c r="F18" s="202"/>
      <c r="G18" s="202"/>
      <c r="H18" s="203">
        <v>7.2</v>
      </c>
      <c r="I18" s="202" t="s">
        <v>130</v>
      </c>
      <c r="J18" s="187"/>
      <c r="K18" s="187"/>
      <c r="L18" s="187"/>
      <c r="M18" s="187"/>
      <c r="N18" s="213"/>
    </row>
    <row r="19" spans="1:14">
      <c r="A19" s="201" t="s">
        <v>128</v>
      </c>
      <c r="B19" s="202"/>
      <c r="C19" s="202" t="s">
        <v>131</v>
      </c>
      <c r="D19" s="202"/>
      <c r="F19" s="202"/>
      <c r="G19" s="202"/>
      <c r="H19" s="203">
        <v>16.7</v>
      </c>
      <c r="I19" s="202" t="s">
        <v>130</v>
      </c>
      <c r="J19" s="187"/>
      <c r="K19" s="187"/>
      <c r="L19" s="187"/>
      <c r="M19" s="187"/>
      <c r="N19" s="213"/>
    </row>
    <row r="20" spans="1:14">
      <c r="A20" s="201" t="s">
        <v>128</v>
      </c>
      <c r="B20" s="202"/>
      <c r="C20" s="202" t="s">
        <v>132</v>
      </c>
      <c r="D20" s="202"/>
      <c r="F20" s="202"/>
      <c r="G20" s="202"/>
      <c r="H20" s="203">
        <v>10.8</v>
      </c>
      <c r="I20" s="202" t="s">
        <v>130</v>
      </c>
      <c r="J20" s="187"/>
      <c r="K20" s="187"/>
      <c r="L20" s="187"/>
      <c r="M20" s="187"/>
      <c r="N20" s="213"/>
    </row>
    <row r="21" spans="1:14">
      <c r="A21" s="201" t="s">
        <v>128</v>
      </c>
      <c r="B21" s="202"/>
      <c r="C21" s="202" t="s">
        <v>133</v>
      </c>
      <c r="D21" s="202"/>
      <c r="F21" s="202"/>
      <c r="G21" s="202"/>
      <c r="H21" s="203">
        <v>11</v>
      </c>
      <c r="I21" s="202" t="s">
        <v>130</v>
      </c>
      <c r="J21" s="187"/>
      <c r="K21" s="187"/>
      <c r="L21" s="187"/>
      <c r="M21" s="187"/>
      <c r="N21" s="213"/>
    </row>
    <row r="22" spans="1:14">
      <c r="A22" s="201" t="s">
        <v>128</v>
      </c>
      <c r="B22" s="202"/>
      <c r="C22" s="206" t="s">
        <v>134</v>
      </c>
      <c r="D22" s="202"/>
      <c r="F22" s="202"/>
      <c r="G22" s="202"/>
      <c r="H22" s="203">
        <f>3.7*2</f>
        <v>7.4</v>
      </c>
      <c r="I22" s="202" t="s">
        <v>130</v>
      </c>
      <c r="J22" s="187"/>
      <c r="K22" s="187"/>
      <c r="L22" s="187"/>
      <c r="M22" s="187"/>
      <c r="N22" s="213"/>
    </row>
    <row r="23" spans="1:14">
      <c r="A23" s="207"/>
      <c r="B23" s="187"/>
      <c r="C23" s="187"/>
      <c r="D23" s="187"/>
      <c r="E23" s="202"/>
      <c r="F23" s="202"/>
      <c r="G23" s="202"/>
      <c r="H23" s="208"/>
      <c r="I23" s="202"/>
      <c r="J23" s="187"/>
      <c r="K23" s="187"/>
      <c r="L23" s="187"/>
      <c r="M23" s="187"/>
      <c r="N23" s="213"/>
    </row>
    <row r="24" spans="1:14">
      <c r="A24" s="207"/>
      <c r="B24" s="187"/>
      <c r="C24" s="187"/>
      <c r="D24" s="187"/>
      <c r="E24" s="209" t="s">
        <v>135</v>
      </c>
      <c r="F24" s="202"/>
      <c r="G24" s="202"/>
      <c r="H24" s="205">
        <f>SUM(H18:H22)</f>
        <v>53.1</v>
      </c>
      <c r="I24" s="202" t="s">
        <v>130</v>
      </c>
      <c r="J24" s="187"/>
      <c r="K24" s="187"/>
      <c r="L24" s="187"/>
      <c r="M24" s="187"/>
      <c r="N24" s="214"/>
    </row>
    <row r="25" spans="1:14">
      <c r="A25" s="207"/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213"/>
    </row>
    <row r="26" spans="1:14">
      <c r="A26" s="207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213"/>
    </row>
    <row r="27" spans="1:14" ht="15.75">
      <c r="A27" s="210" t="str">
        <f>"Momento de transporte  =  "&amp;TEXT(H24,"0,00")&amp;"  x  "&amp;TEXT(C16,"0,00")&amp;"            =&gt;"</f>
        <v>Momento de transporte  =  53,10  x  70,00            =&gt;</v>
      </c>
      <c r="B27" s="211"/>
      <c r="C27" s="211"/>
      <c r="D27" s="211"/>
      <c r="E27" s="211"/>
      <c r="F27" s="509">
        <f>ROUND(C16*H24,2)</f>
        <v>3717</v>
      </c>
      <c r="G27" s="510"/>
      <c r="H27" s="212" t="s">
        <v>136</v>
      </c>
      <c r="I27" s="211"/>
      <c r="J27" s="211"/>
      <c r="K27" s="211"/>
      <c r="L27" s="211"/>
      <c r="M27" s="211"/>
      <c r="N27" s="215"/>
    </row>
  </sheetData>
  <mergeCells count="8">
    <mergeCell ref="A10:N10"/>
    <mergeCell ref="F27:G27"/>
    <mergeCell ref="A7:N8"/>
    <mergeCell ref="A1:N1"/>
    <mergeCell ref="A2:N2"/>
    <mergeCell ref="A3:N3"/>
    <mergeCell ref="A5:N5"/>
    <mergeCell ref="C9:J9"/>
  </mergeCells>
  <pageMargins left="0.511811024" right="0.511811024" top="0.78740157499999996" bottom="0.78740157499999996" header="0.31496062000000002" footer="0.31496062000000002"/>
  <pageSetup paperSize="9" scale="62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J44"/>
  <sheetViews>
    <sheetView tabSelected="1" view="pageBreakPreview" topLeftCell="A46" zoomScaleNormal="100" zoomScaleSheetLayoutView="100" workbookViewId="0">
      <selection activeCell="I144" sqref="I144"/>
    </sheetView>
  </sheetViews>
  <sheetFormatPr defaultColWidth="9" defaultRowHeight="12.75"/>
  <cols>
    <col min="1" max="3" width="13.28515625" customWidth="1"/>
    <col min="4" max="4" width="52.7109375" customWidth="1"/>
    <col min="6" max="6" width="18.42578125" customWidth="1"/>
    <col min="7" max="7" width="19.7109375" customWidth="1"/>
    <col min="8" max="8" width="19.42578125" customWidth="1"/>
    <col min="10" max="10" width="12.85546875"/>
  </cols>
  <sheetData>
    <row r="1" spans="1:8">
      <c r="A1" s="153"/>
      <c r="B1" s="154"/>
      <c r="C1" s="154"/>
      <c r="D1" s="521" t="s">
        <v>137</v>
      </c>
      <c r="E1" s="522"/>
      <c r="F1" s="522"/>
      <c r="G1" s="522"/>
      <c r="H1" s="523"/>
    </row>
    <row r="2" spans="1:8">
      <c r="A2" s="155"/>
      <c r="B2" s="156"/>
      <c r="C2" s="156"/>
      <c r="D2" s="524" t="s">
        <v>138</v>
      </c>
      <c r="E2" s="525"/>
      <c r="F2" s="525"/>
      <c r="G2" s="525"/>
      <c r="H2" s="526"/>
    </row>
    <row r="3" spans="1:8">
      <c r="A3" s="155"/>
      <c r="B3" s="156"/>
      <c r="C3" s="156"/>
      <c r="D3" s="524" t="s">
        <v>139</v>
      </c>
      <c r="E3" s="525"/>
      <c r="F3" s="525"/>
      <c r="G3" s="525"/>
      <c r="H3" s="526"/>
    </row>
    <row r="4" spans="1:8">
      <c r="A4" s="155"/>
      <c r="B4" s="156"/>
      <c r="C4" s="156"/>
      <c r="D4" s="156"/>
      <c r="E4" s="156"/>
      <c r="F4" s="156"/>
      <c r="G4" s="156"/>
      <c r="H4" s="157"/>
    </row>
    <row r="5" spans="1:8" ht="15.75">
      <c r="A5" s="527" t="s">
        <v>140</v>
      </c>
      <c r="B5" s="528"/>
      <c r="C5" s="528"/>
      <c r="D5" s="528"/>
      <c r="E5" s="528"/>
      <c r="F5" s="528"/>
      <c r="G5" s="528"/>
      <c r="H5" s="529"/>
    </row>
    <row r="6" spans="1:8" ht="15.75">
      <c r="A6" s="160"/>
      <c r="B6" s="158"/>
      <c r="C6" s="158"/>
      <c r="D6" s="158"/>
      <c r="E6" s="158"/>
      <c r="F6" s="158"/>
      <c r="G6" s="158"/>
      <c r="H6" s="159"/>
    </row>
    <row r="7" spans="1:8" ht="42.95" customHeight="1">
      <c r="A7" s="530" t="str">
        <f>'Planilha - BARRAGEM'!A5:I5</f>
        <v>EXECUÇÃO DE OBRAS E SERVIÇOS PARA CONSTRUÇÃO DE BARRAGENS DE TERRA VISANDO ATENDER AS COMUNIDADES DA LAPINHA E MONTE ALTO NO MUNICÍPIO DE ANAGÉ, NO ESTADO DA BAHIA, NA ÁREA DE ATUAÇÃO DA 2ª SUPERINTENDÊNCIA REGIONAL</v>
      </c>
      <c r="B7" s="531"/>
      <c r="C7" s="531"/>
      <c r="D7" s="531"/>
      <c r="E7" s="531"/>
      <c r="F7" s="531"/>
      <c r="G7" s="531"/>
      <c r="H7" s="532"/>
    </row>
    <row r="8" spans="1:8" ht="15.75">
      <c r="A8" s="160"/>
      <c r="B8" s="158"/>
      <c r="C8" s="158"/>
      <c r="D8" s="158"/>
      <c r="E8" s="158"/>
      <c r="F8" s="158"/>
      <c r="G8" s="158"/>
      <c r="H8" s="159"/>
    </row>
    <row r="9" spans="1:8" ht="21.95" customHeight="1">
      <c r="A9" s="155"/>
      <c r="B9" s="156"/>
      <c r="C9" s="158"/>
      <c r="D9" s="158"/>
      <c r="E9" s="156"/>
      <c r="F9" s="533" t="s">
        <v>141</v>
      </c>
      <c r="G9" s="534"/>
      <c r="H9" s="161">
        <f>'BDI - SERVIÇOS'!D36</f>
        <v>0.2499528430651341</v>
      </c>
    </row>
    <row r="10" spans="1:8" ht="21.95" customHeight="1">
      <c r="A10" s="155"/>
      <c r="B10" s="156"/>
      <c r="C10" s="158"/>
      <c r="D10" s="158"/>
      <c r="E10" s="156"/>
      <c r="F10" s="535" t="s">
        <v>142</v>
      </c>
      <c r="G10" s="536"/>
      <c r="H10" s="162">
        <f>'ENC SOCIAIS'!F52</f>
        <v>1.1446999999999998</v>
      </c>
    </row>
    <row r="11" spans="1:8" ht="21.95" customHeight="1">
      <c r="A11" s="163" t="s">
        <v>8</v>
      </c>
      <c r="B11" s="425" t="s">
        <v>143</v>
      </c>
      <c r="C11" s="425"/>
      <c r="D11" s="425"/>
      <c r="E11" s="156"/>
      <c r="F11" s="537" t="s">
        <v>144</v>
      </c>
      <c r="G11" s="538"/>
      <c r="H11" s="539"/>
    </row>
    <row r="12" spans="1:8" ht="15" customHeight="1">
      <c r="A12" s="155"/>
      <c r="B12" s="156"/>
      <c r="C12" s="156"/>
      <c r="D12" s="156"/>
      <c r="E12" s="156"/>
      <c r="F12" s="156"/>
      <c r="G12" s="156"/>
      <c r="H12" s="157"/>
    </row>
    <row r="13" spans="1:8" ht="21.95" customHeight="1">
      <c r="A13" s="164" t="s">
        <v>24</v>
      </c>
      <c r="B13" s="164" t="s">
        <v>145</v>
      </c>
      <c r="C13" s="164" t="s">
        <v>13</v>
      </c>
      <c r="D13" s="165" t="s">
        <v>146</v>
      </c>
      <c r="E13" s="164" t="s">
        <v>15</v>
      </c>
      <c r="F13" s="166" t="s">
        <v>16</v>
      </c>
      <c r="G13" s="166" t="s">
        <v>147</v>
      </c>
      <c r="H13" s="166" t="s">
        <v>148</v>
      </c>
    </row>
    <row r="14" spans="1:8" ht="21.95" customHeight="1">
      <c r="A14" s="167" t="s">
        <v>149</v>
      </c>
      <c r="B14" s="167" t="s">
        <v>28</v>
      </c>
      <c r="C14" s="167">
        <v>90776</v>
      </c>
      <c r="D14" s="168" t="s">
        <v>150</v>
      </c>
      <c r="E14" s="167" t="s">
        <v>151</v>
      </c>
      <c r="F14" s="169">
        <v>60</v>
      </c>
      <c r="G14" s="170">
        <v>31.19</v>
      </c>
      <c r="H14" s="171">
        <f>ROUND(F14*G14,2)</f>
        <v>1871.4</v>
      </c>
    </row>
    <row r="15" spans="1:8" ht="21.95" customHeight="1">
      <c r="A15" s="167" t="s">
        <v>149</v>
      </c>
      <c r="B15" s="167" t="s">
        <v>28</v>
      </c>
      <c r="C15" s="167">
        <v>90777</v>
      </c>
      <c r="D15" s="168" t="s">
        <v>152</v>
      </c>
      <c r="E15" s="167" t="s">
        <v>151</v>
      </c>
      <c r="F15" s="169">
        <v>12</v>
      </c>
      <c r="G15" s="170">
        <v>93.77</v>
      </c>
      <c r="H15" s="171">
        <f>ROUND(F15*G15,2)</f>
        <v>1125.24</v>
      </c>
    </row>
    <row r="16" spans="1:8" ht="21.95" customHeight="1">
      <c r="A16" s="155"/>
      <c r="B16" s="156"/>
      <c r="C16" s="156"/>
      <c r="D16" s="156"/>
      <c r="E16" s="540" t="s">
        <v>153</v>
      </c>
      <c r="F16" s="541"/>
      <c r="G16" s="542"/>
      <c r="H16" s="172">
        <f>ROUND(SUM(H14:H15),2)</f>
        <v>2996.64</v>
      </c>
    </row>
    <row r="17" spans="1:10" ht="21.95" customHeight="1">
      <c r="A17" s="155"/>
      <c r="B17" s="156"/>
      <c r="C17" s="156"/>
      <c r="D17" s="156"/>
      <c r="E17" s="543">
        <f>$H$9</f>
        <v>0.2499528430651341</v>
      </c>
      <c r="F17" s="541"/>
      <c r="G17" s="542"/>
      <c r="H17" s="173">
        <f>ROUND((E17*H16),2)</f>
        <v>749.02</v>
      </c>
    </row>
    <row r="18" spans="1:10" ht="21.95" customHeight="1">
      <c r="A18" s="155"/>
      <c r="B18" s="156"/>
      <c r="C18" s="156"/>
      <c r="D18" s="156"/>
      <c r="E18" s="540" t="s">
        <v>153</v>
      </c>
      <c r="F18" s="541"/>
      <c r="G18" s="542"/>
      <c r="H18" s="172">
        <f>ROUND(H16+H17,2)</f>
        <v>3745.66</v>
      </c>
    </row>
    <row r="19" spans="1:10" ht="21.95" customHeight="1">
      <c r="A19" s="155"/>
      <c r="B19" s="156"/>
      <c r="C19" s="156"/>
      <c r="D19" s="156"/>
      <c r="E19" s="540" t="s">
        <v>154</v>
      </c>
      <c r="F19" s="541"/>
      <c r="G19" s="542"/>
      <c r="H19" s="174">
        <f>ROUND(H18*6,2)</f>
        <v>22473.96</v>
      </c>
    </row>
    <row r="20" spans="1:10" ht="21.95" customHeight="1">
      <c r="A20" s="155"/>
      <c r="B20" s="156"/>
      <c r="C20" s="156"/>
      <c r="D20" s="156"/>
      <c r="E20" s="540" t="s">
        <v>155</v>
      </c>
      <c r="F20" s="541"/>
      <c r="G20" s="542"/>
      <c r="H20" s="175">
        <f>H19</f>
        <v>22473.96</v>
      </c>
      <c r="J20" s="180">
        <f>H20/'Planilha - BARRAGEM'!J54</f>
        <v>9.5201229340906746E-2</v>
      </c>
    </row>
    <row r="21" spans="1:10" ht="15" customHeight="1">
      <c r="A21" s="155"/>
      <c r="B21" s="156"/>
      <c r="C21" s="156"/>
      <c r="D21" s="156"/>
      <c r="E21" s="156"/>
      <c r="F21" s="156"/>
      <c r="G21" s="156"/>
      <c r="H21" s="157"/>
    </row>
    <row r="22" spans="1:10" ht="43.5" customHeight="1">
      <c r="A22" s="164" t="s">
        <v>35</v>
      </c>
      <c r="B22" s="164" t="s">
        <v>145</v>
      </c>
      <c r="C22" s="164" t="s">
        <v>13</v>
      </c>
      <c r="D22" s="165" t="s">
        <v>156</v>
      </c>
      <c r="E22" s="164" t="s">
        <v>15</v>
      </c>
      <c r="F22" s="166" t="s">
        <v>16</v>
      </c>
      <c r="G22" s="166" t="s">
        <v>147</v>
      </c>
      <c r="H22" s="166" t="s">
        <v>148</v>
      </c>
    </row>
    <row r="23" spans="1:10" ht="24">
      <c r="A23" s="167" t="s">
        <v>149</v>
      </c>
      <c r="B23" s="167" t="s">
        <v>64</v>
      </c>
      <c r="C23" s="176" t="s">
        <v>157</v>
      </c>
      <c r="D23" s="168" t="s">
        <v>158</v>
      </c>
      <c r="E23" s="167" t="s">
        <v>159</v>
      </c>
      <c r="F23" s="177">
        <v>3</v>
      </c>
      <c r="G23" s="170">
        <v>142.16</v>
      </c>
      <c r="H23" s="171">
        <f>ROUND(F23*G23,2)</f>
        <v>426.48</v>
      </c>
    </row>
    <row r="24" spans="1:10" ht="24">
      <c r="A24" s="167" t="s">
        <v>149</v>
      </c>
      <c r="B24" s="167" t="s">
        <v>64</v>
      </c>
      <c r="C24" s="176" t="s">
        <v>160</v>
      </c>
      <c r="D24" s="168" t="s">
        <v>161</v>
      </c>
      <c r="E24" s="167" t="s">
        <v>159</v>
      </c>
      <c r="F24" s="177">
        <v>3</v>
      </c>
      <c r="G24" s="170">
        <v>251.03</v>
      </c>
      <c r="H24" s="171">
        <f>ROUND(F24*G24,2)</f>
        <v>753.09</v>
      </c>
    </row>
    <row r="25" spans="1:10" ht="24">
      <c r="A25" s="167" t="s">
        <v>149</v>
      </c>
      <c r="B25" s="167" t="s">
        <v>32</v>
      </c>
      <c r="C25" s="176">
        <v>5869</v>
      </c>
      <c r="D25" s="168" t="s">
        <v>162</v>
      </c>
      <c r="E25" s="167" t="s">
        <v>163</v>
      </c>
      <c r="F25" s="177">
        <v>2</v>
      </c>
      <c r="G25" s="170">
        <v>8.33</v>
      </c>
      <c r="H25" s="171">
        <f>ROUND(F25*G25,2)</f>
        <v>16.66</v>
      </c>
    </row>
    <row r="26" spans="1:10" ht="36">
      <c r="A26" s="167" t="s">
        <v>149</v>
      </c>
      <c r="B26" s="167" t="s">
        <v>64</v>
      </c>
      <c r="C26" s="176">
        <v>5914640</v>
      </c>
      <c r="D26" s="168" t="s">
        <v>164</v>
      </c>
      <c r="E26" s="167" t="s">
        <v>165</v>
      </c>
      <c r="F26" s="177">
        <f>'Mobilização - BARRAGEM'!F27:G27</f>
        <v>3717</v>
      </c>
      <c r="G26" s="170">
        <v>0.41</v>
      </c>
      <c r="H26" s="171">
        <f>ROUND(F26*G26,2)</f>
        <v>1523.97</v>
      </c>
    </row>
    <row r="27" spans="1:10" ht="21.95" customHeight="1">
      <c r="A27" s="155"/>
      <c r="B27" s="156"/>
      <c r="C27" s="156"/>
      <c r="D27" s="156"/>
      <c r="E27" s="540" t="s">
        <v>153</v>
      </c>
      <c r="F27" s="541"/>
      <c r="G27" s="542"/>
      <c r="H27" s="172">
        <f>SUM(H23:H26)</f>
        <v>2720.2000000000003</v>
      </c>
    </row>
    <row r="28" spans="1:10" ht="21.95" customHeight="1">
      <c r="A28" s="155"/>
      <c r="B28" s="156"/>
      <c r="C28" s="156"/>
      <c r="D28" s="156"/>
      <c r="E28" s="543">
        <f>H9</f>
        <v>0.2499528430651341</v>
      </c>
      <c r="F28" s="541"/>
      <c r="G28" s="542"/>
      <c r="H28" s="173">
        <f>ROUND((E28*H27),2)</f>
        <v>679.92</v>
      </c>
    </row>
    <row r="29" spans="1:10" ht="21.95" customHeight="1">
      <c r="A29" s="155"/>
      <c r="B29" s="156"/>
      <c r="C29" s="156"/>
      <c r="D29" s="156"/>
      <c r="E29" s="540" t="s">
        <v>155</v>
      </c>
      <c r="F29" s="541"/>
      <c r="G29" s="542"/>
      <c r="H29" s="175">
        <f>ROUND(SUM(H27:H28),2)</f>
        <v>3400.12</v>
      </c>
    </row>
    <row r="30" spans="1:10" ht="15" customHeight="1">
      <c r="A30" s="155"/>
      <c r="B30" s="156"/>
      <c r="C30" s="156"/>
      <c r="D30" s="156"/>
      <c r="E30" s="156"/>
      <c r="F30" s="156"/>
      <c r="G30" s="156"/>
      <c r="H30" s="157"/>
    </row>
    <row r="31" spans="1:10" ht="35.25" customHeight="1">
      <c r="A31" s="164" t="s">
        <v>41</v>
      </c>
      <c r="B31" s="164" t="s">
        <v>145</v>
      </c>
      <c r="C31" s="164" t="s">
        <v>13</v>
      </c>
      <c r="D31" s="165" t="s">
        <v>166</v>
      </c>
      <c r="E31" s="164" t="s">
        <v>15</v>
      </c>
      <c r="F31" s="166" t="s">
        <v>16</v>
      </c>
      <c r="G31" s="166" t="s">
        <v>147</v>
      </c>
      <c r="H31" s="166" t="s">
        <v>148</v>
      </c>
    </row>
    <row r="32" spans="1:10">
      <c r="A32" s="167" t="s">
        <v>167</v>
      </c>
      <c r="B32" s="167" t="s">
        <v>28</v>
      </c>
      <c r="C32" s="167">
        <v>5075</v>
      </c>
      <c r="D32" s="168" t="s">
        <v>168</v>
      </c>
      <c r="E32" s="167" t="s">
        <v>169</v>
      </c>
      <c r="F32" s="177">
        <v>0.11</v>
      </c>
      <c r="G32" s="170">
        <v>19.73</v>
      </c>
      <c r="H32" s="171">
        <f t="shared" ref="H32:H41" si="0">ROUND(F32*G32,2)</f>
        <v>2.17</v>
      </c>
    </row>
    <row r="33" spans="1:8" ht="27" customHeight="1">
      <c r="A33" s="167" t="s">
        <v>167</v>
      </c>
      <c r="B33" s="167" t="s">
        <v>28</v>
      </c>
      <c r="C33" s="167">
        <v>4491</v>
      </c>
      <c r="D33" s="168" t="s">
        <v>170</v>
      </c>
      <c r="E33" s="167" t="s">
        <v>66</v>
      </c>
      <c r="F33" s="177">
        <v>4</v>
      </c>
      <c r="G33" s="170">
        <v>8.83</v>
      </c>
      <c r="H33" s="171">
        <f t="shared" si="0"/>
        <v>35.32</v>
      </c>
    </row>
    <row r="34" spans="1:8" ht="27" customHeight="1">
      <c r="A34" s="167" t="s">
        <v>167</v>
      </c>
      <c r="B34" s="167" t="s">
        <v>28</v>
      </c>
      <c r="C34" s="167">
        <v>4417</v>
      </c>
      <c r="D34" s="168" t="s">
        <v>171</v>
      </c>
      <c r="E34" s="167" t="s">
        <v>66</v>
      </c>
      <c r="F34" s="177">
        <v>1</v>
      </c>
      <c r="G34" s="170">
        <v>8.9499999999999993</v>
      </c>
      <c r="H34" s="171">
        <f t="shared" si="0"/>
        <v>8.9499999999999993</v>
      </c>
    </row>
    <row r="35" spans="1:8" ht="27" customHeight="1">
      <c r="A35" s="167" t="s">
        <v>167</v>
      </c>
      <c r="B35" s="167" t="s">
        <v>28</v>
      </c>
      <c r="C35" s="167">
        <v>4813</v>
      </c>
      <c r="D35" s="168" t="s">
        <v>172</v>
      </c>
      <c r="E35" s="167" t="s">
        <v>43</v>
      </c>
      <c r="F35" s="177">
        <v>1</v>
      </c>
      <c r="G35" s="170">
        <v>262.5</v>
      </c>
      <c r="H35" s="171">
        <f t="shared" si="0"/>
        <v>262.5</v>
      </c>
    </row>
    <row r="36" spans="1:8" ht="27" customHeight="1">
      <c r="A36" s="167" t="s">
        <v>167</v>
      </c>
      <c r="B36" s="167" t="s">
        <v>28</v>
      </c>
      <c r="C36" s="167">
        <v>370</v>
      </c>
      <c r="D36" s="168" t="s">
        <v>173</v>
      </c>
      <c r="E36" s="167" t="s">
        <v>56</v>
      </c>
      <c r="F36" s="177">
        <v>4.8999999999999998E-3</v>
      </c>
      <c r="G36" s="170">
        <v>100</v>
      </c>
      <c r="H36" s="171">
        <f t="shared" si="0"/>
        <v>0.49</v>
      </c>
    </row>
    <row r="37" spans="1:8" ht="27" customHeight="1">
      <c r="A37" s="167" t="s">
        <v>167</v>
      </c>
      <c r="B37" s="167" t="s">
        <v>28</v>
      </c>
      <c r="C37" s="167">
        <v>1379</v>
      </c>
      <c r="D37" s="168" t="s">
        <v>174</v>
      </c>
      <c r="E37" s="167" t="s">
        <v>169</v>
      </c>
      <c r="F37" s="177">
        <v>1.5</v>
      </c>
      <c r="G37" s="170">
        <v>0.75</v>
      </c>
      <c r="H37" s="171">
        <f t="shared" si="0"/>
        <v>1.1299999999999999</v>
      </c>
    </row>
    <row r="38" spans="1:8">
      <c r="A38" s="167" t="s">
        <v>167</v>
      </c>
      <c r="B38" s="167" t="s">
        <v>28</v>
      </c>
      <c r="C38" s="167">
        <v>4718</v>
      </c>
      <c r="D38" s="168" t="s">
        <v>175</v>
      </c>
      <c r="E38" s="167" t="s">
        <v>56</v>
      </c>
      <c r="F38" s="177">
        <v>9.7999999999999997E-3</v>
      </c>
      <c r="G38" s="170">
        <v>70.02</v>
      </c>
      <c r="H38" s="171">
        <f t="shared" si="0"/>
        <v>0.69</v>
      </c>
    </row>
    <row r="39" spans="1:8" ht="24">
      <c r="A39" s="167" t="s">
        <v>176</v>
      </c>
      <c r="B39" s="167" t="s">
        <v>28</v>
      </c>
      <c r="C39" s="167">
        <v>87445</v>
      </c>
      <c r="D39" s="168" t="s">
        <v>177</v>
      </c>
      <c r="E39" s="167" t="s">
        <v>163</v>
      </c>
      <c r="F39" s="177">
        <v>6.4999999999999997E-3</v>
      </c>
      <c r="G39" s="170">
        <v>4.51</v>
      </c>
      <c r="H39" s="171">
        <f t="shared" si="0"/>
        <v>0.03</v>
      </c>
    </row>
    <row r="40" spans="1:8" ht="27" customHeight="1">
      <c r="A40" s="167" t="s">
        <v>176</v>
      </c>
      <c r="B40" s="167" t="s">
        <v>28</v>
      </c>
      <c r="C40" s="167">
        <v>88262</v>
      </c>
      <c r="D40" s="168" t="s">
        <v>178</v>
      </c>
      <c r="E40" s="167" t="s">
        <v>163</v>
      </c>
      <c r="F40" s="177">
        <v>1</v>
      </c>
      <c r="G40" s="170">
        <v>26.39</v>
      </c>
      <c r="H40" s="171">
        <f t="shared" si="0"/>
        <v>26.39</v>
      </c>
    </row>
    <row r="41" spans="1:8" ht="27" customHeight="1">
      <c r="A41" s="167" t="s">
        <v>176</v>
      </c>
      <c r="B41" s="167" t="s">
        <v>28</v>
      </c>
      <c r="C41" s="167">
        <v>88316</v>
      </c>
      <c r="D41" s="168" t="s">
        <v>179</v>
      </c>
      <c r="E41" s="167" t="s">
        <v>163</v>
      </c>
      <c r="F41" s="177">
        <v>2.06</v>
      </c>
      <c r="G41" s="170">
        <v>18.79</v>
      </c>
      <c r="H41" s="171">
        <f t="shared" si="0"/>
        <v>38.71</v>
      </c>
    </row>
    <row r="42" spans="1:8" ht="21.95" customHeight="1">
      <c r="A42" s="155"/>
      <c r="B42" s="156"/>
      <c r="C42" s="156"/>
      <c r="D42" s="156"/>
      <c r="E42" s="540" t="s">
        <v>153</v>
      </c>
      <c r="F42" s="541"/>
      <c r="G42" s="542"/>
      <c r="H42" s="172">
        <f>SUM(H32:H41)</f>
        <v>376.37999999999994</v>
      </c>
    </row>
    <row r="43" spans="1:8" ht="21.95" customHeight="1">
      <c r="A43" s="155"/>
      <c r="B43" s="156"/>
      <c r="C43" s="156"/>
      <c r="D43" s="156"/>
      <c r="E43" s="543">
        <f>H9</f>
        <v>0.2499528430651341</v>
      </c>
      <c r="F43" s="541"/>
      <c r="G43" s="542"/>
      <c r="H43" s="173">
        <f>ROUND((E43*H42),2)</f>
        <v>94.08</v>
      </c>
    </row>
    <row r="44" spans="1:8" ht="21.95" customHeight="1">
      <c r="A44" s="178"/>
      <c r="B44" s="179"/>
      <c r="C44" s="179"/>
      <c r="D44" s="179"/>
      <c r="E44" s="540" t="s">
        <v>155</v>
      </c>
      <c r="F44" s="541"/>
      <c r="G44" s="542"/>
      <c r="H44" s="175">
        <f>ROUND(H42+H43,2)</f>
        <v>470.46</v>
      </c>
    </row>
  </sheetData>
  <mergeCells count="20">
    <mergeCell ref="E28:G28"/>
    <mergeCell ref="E29:G29"/>
    <mergeCell ref="E42:G42"/>
    <mergeCell ref="E43:G43"/>
    <mergeCell ref="E44:G44"/>
    <mergeCell ref="E17:G17"/>
    <mergeCell ref="E18:G18"/>
    <mergeCell ref="E19:G19"/>
    <mergeCell ref="E20:G20"/>
    <mergeCell ref="E27:G27"/>
    <mergeCell ref="F9:G9"/>
    <mergeCell ref="F10:G10"/>
    <mergeCell ref="B11:D11"/>
    <mergeCell ref="F11:H11"/>
    <mergeCell ref="E16:G16"/>
    <mergeCell ref="D1:H1"/>
    <mergeCell ref="D2:H2"/>
    <mergeCell ref="D3:H3"/>
    <mergeCell ref="A5:H5"/>
    <mergeCell ref="A7:H7"/>
  </mergeCells>
  <pageMargins left="0.511811024" right="0.511811024" top="0.78740157499999996" bottom="0.78740157499999996" header="0.31496062000000002" footer="0.31496062000000002"/>
  <pageSetup paperSize="9" scale="5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P37"/>
  <sheetViews>
    <sheetView view="pageBreakPreview" topLeftCell="A4" zoomScaleNormal="100" zoomScaleSheetLayoutView="100" workbookViewId="0">
      <selection activeCell="D15" sqref="D15"/>
    </sheetView>
  </sheetViews>
  <sheetFormatPr defaultColWidth="9" defaultRowHeight="12.75"/>
  <cols>
    <col min="2" max="2" width="15.42578125" customWidth="1"/>
    <col min="3" max="3" width="48.28515625" customWidth="1"/>
    <col min="4" max="4" width="9.5703125"/>
    <col min="6" max="6" width="9.85546875" customWidth="1"/>
  </cols>
  <sheetData>
    <row r="2" spans="2:16" ht="20.25">
      <c r="B2" s="544" t="s">
        <v>180</v>
      </c>
      <c r="C2" s="545"/>
      <c r="D2" s="545"/>
      <c r="E2" s="545"/>
      <c r="F2" s="545"/>
      <c r="G2" s="545"/>
      <c r="H2" s="545"/>
      <c r="I2" s="546"/>
    </row>
    <row r="3" spans="2:16" ht="20.25">
      <c r="B3" s="547"/>
      <c r="C3" s="548"/>
      <c r="D3" s="548"/>
      <c r="E3" s="548"/>
      <c r="F3" s="548"/>
      <c r="G3" s="548"/>
      <c r="H3" s="548"/>
      <c r="I3" s="549"/>
    </row>
    <row r="4" spans="2:16" ht="71.099999999999994" customHeight="1">
      <c r="B4" s="84" t="s">
        <v>181</v>
      </c>
      <c r="C4" s="550" t="s">
        <v>4</v>
      </c>
      <c r="D4" s="531"/>
      <c r="E4" s="531"/>
      <c r="F4" s="531"/>
      <c r="G4" s="531"/>
      <c r="H4" s="531"/>
      <c r="I4" s="532"/>
      <c r="J4" s="127"/>
      <c r="K4" s="127"/>
    </row>
    <row r="5" spans="2:16" ht="15.75">
      <c r="B5" s="85"/>
      <c r="C5" s="551"/>
      <c r="D5" s="551"/>
      <c r="E5" s="551"/>
      <c r="F5" s="551"/>
      <c r="G5" s="551"/>
      <c r="H5" s="551"/>
      <c r="I5" s="552"/>
    </row>
    <row r="6" spans="2:16" ht="15">
      <c r="B6" s="553" t="s">
        <v>182</v>
      </c>
      <c r="C6" s="554"/>
      <c r="D6" s="554"/>
      <c r="E6" s="554"/>
      <c r="F6" s="554"/>
      <c r="G6" s="554"/>
      <c r="H6" s="554"/>
      <c r="I6" s="555"/>
    </row>
    <row r="7" spans="2:16" ht="15">
      <c r="B7" s="86"/>
      <c r="C7" s="87"/>
      <c r="D7" s="87"/>
      <c r="E7" s="87"/>
      <c r="F7" s="87"/>
      <c r="G7" s="88"/>
      <c r="H7" s="88"/>
      <c r="I7" s="128"/>
      <c r="M7" s="556" t="s">
        <v>183</v>
      </c>
      <c r="N7" s="556"/>
      <c r="O7" s="556"/>
      <c r="P7" s="556"/>
    </row>
    <row r="8" spans="2:16" ht="15.75" customHeight="1">
      <c r="B8" s="557" t="s">
        <v>184</v>
      </c>
      <c r="C8" s="554"/>
      <c r="D8" s="555"/>
      <c r="E8" s="87"/>
      <c r="F8" s="603" t="s">
        <v>185</v>
      </c>
      <c r="G8" s="604"/>
      <c r="H8" s="605"/>
      <c r="I8" s="606"/>
      <c r="M8" s="597" t="s">
        <v>185</v>
      </c>
      <c r="N8" s="598"/>
      <c r="O8" s="598"/>
      <c r="P8" s="599"/>
    </row>
    <row r="9" spans="2:16">
      <c r="B9" s="625" t="s">
        <v>11</v>
      </c>
      <c r="C9" s="629" t="s">
        <v>186</v>
      </c>
      <c r="D9" s="633" t="s">
        <v>187</v>
      </c>
      <c r="E9" s="89"/>
      <c r="F9" s="607"/>
      <c r="G9" s="608"/>
      <c r="H9" s="609"/>
      <c r="I9" s="610"/>
      <c r="M9" s="600"/>
      <c r="N9" s="601"/>
      <c r="O9" s="601"/>
      <c r="P9" s="602"/>
    </row>
    <row r="10" spans="2:16">
      <c r="B10" s="626"/>
      <c r="C10" s="630"/>
      <c r="D10" s="634"/>
      <c r="E10" s="89"/>
      <c r="F10" s="90" t="s">
        <v>188</v>
      </c>
      <c r="G10" s="558" t="s">
        <v>189</v>
      </c>
      <c r="H10" s="559"/>
      <c r="I10" s="130" t="s">
        <v>190</v>
      </c>
      <c r="M10" s="131" t="s">
        <v>188</v>
      </c>
      <c r="N10" s="560" t="s">
        <v>189</v>
      </c>
      <c r="O10" s="561"/>
      <c r="P10" s="132" t="s">
        <v>190</v>
      </c>
    </row>
    <row r="11" spans="2:16" ht="14.25">
      <c r="B11" s="562"/>
      <c r="C11" s="563"/>
      <c r="D11" s="563"/>
      <c r="E11" s="91"/>
      <c r="F11" s="92"/>
      <c r="G11" s="93"/>
      <c r="H11" s="93"/>
      <c r="I11" s="133"/>
      <c r="M11" s="91"/>
      <c r="N11" s="88"/>
      <c r="O11" s="88"/>
      <c r="P11" s="128"/>
    </row>
    <row r="12" spans="2:16" ht="14.25">
      <c r="B12" s="94" t="s">
        <v>191</v>
      </c>
      <c r="C12" s="564" t="s">
        <v>192</v>
      </c>
      <c r="D12" s="565"/>
      <c r="E12" s="95"/>
      <c r="F12" s="96"/>
      <c r="G12" s="566"/>
      <c r="H12" s="567"/>
      <c r="I12" s="134"/>
      <c r="M12" s="135"/>
      <c r="N12" s="568"/>
      <c r="O12" s="569"/>
      <c r="P12" s="136"/>
    </row>
    <row r="13" spans="2:16">
      <c r="B13" s="97" t="s">
        <v>193</v>
      </c>
      <c r="C13" s="98" t="s">
        <v>194</v>
      </c>
      <c r="D13" s="99">
        <v>0</v>
      </c>
      <c r="E13" s="100"/>
      <c r="F13" s="101">
        <v>2.8E-3</v>
      </c>
      <c r="G13" s="570">
        <v>4.8999999999999998E-3</v>
      </c>
      <c r="H13" s="571"/>
      <c r="I13" s="137">
        <v>7.4999999999999997E-3</v>
      </c>
      <c r="M13" s="138">
        <v>3.2000000000000002E-3</v>
      </c>
      <c r="N13" s="572">
        <v>4.0000000000000001E-3</v>
      </c>
      <c r="O13" s="573"/>
      <c r="P13" s="139">
        <v>7.4000000000000003E-3</v>
      </c>
    </row>
    <row r="14" spans="2:16">
      <c r="B14" s="97" t="s">
        <v>195</v>
      </c>
      <c r="C14" s="98" t="s">
        <v>196</v>
      </c>
      <c r="D14" s="99">
        <v>0</v>
      </c>
      <c r="E14" s="100"/>
      <c r="F14" s="101">
        <v>4.8999999999999998E-3</v>
      </c>
      <c r="G14" s="570">
        <v>7.4999999999999997E-3</v>
      </c>
      <c r="H14" s="571"/>
      <c r="I14" s="137">
        <v>0.01</v>
      </c>
      <c r="M14" s="138">
        <v>5.0000000000000001E-3</v>
      </c>
      <c r="N14" s="572">
        <v>5.5999999999999999E-3</v>
      </c>
      <c r="O14" s="573"/>
      <c r="P14" s="139">
        <v>9.7000000000000003E-3</v>
      </c>
    </row>
    <row r="15" spans="2:16">
      <c r="B15" s="97" t="s">
        <v>197</v>
      </c>
      <c r="C15" s="98" t="s">
        <v>198</v>
      </c>
      <c r="D15" s="99">
        <v>9.9000000000000008E-3</v>
      </c>
      <c r="E15" s="100"/>
      <c r="F15" s="101">
        <v>9.4000000000000004E-3</v>
      </c>
      <c r="G15" s="570">
        <v>9.9000000000000008E-3</v>
      </c>
      <c r="H15" s="571"/>
      <c r="I15" s="137">
        <v>1.17E-2</v>
      </c>
      <c r="M15" s="140">
        <v>1.0200000000000001E-2</v>
      </c>
      <c r="N15" s="572">
        <v>1.11E-2</v>
      </c>
      <c r="O15" s="573"/>
      <c r="P15" s="139">
        <v>1.21E-2</v>
      </c>
    </row>
    <row r="16" spans="2:16">
      <c r="B16" s="97" t="s">
        <v>199</v>
      </c>
      <c r="C16" s="98" t="s">
        <v>200</v>
      </c>
      <c r="D16" s="99">
        <v>4.65E-2</v>
      </c>
      <c r="E16" s="100"/>
      <c r="F16" s="101">
        <v>3.4299999999999997E-2</v>
      </c>
      <c r="G16" s="570">
        <v>4.9299999999999997E-2</v>
      </c>
      <c r="H16" s="571"/>
      <c r="I16" s="137">
        <v>6.7100000000000007E-2</v>
      </c>
      <c r="M16" s="140">
        <v>3.7999999999999999E-2</v>
      </c>
      <c r="N16" s="572">
        <v>4.0099999999999997E-2</v>
      </c>
      <c r="O16" s="573"/>
      <c r="P16" s="139">
        <v>4.6699999999999998E-2</v>
      </c>
    </row>
    <row r="17" spans="2:16">
      <c r="B17" s="574" t="s">
        <v>201</v>
      </c>
      <c r="C17" s="575"/>
      <c r="D17" s="102">
        <f>SUM(D13:D16)</f>
        <v>5.6399999999999999E-2</v>
      </c>
      <c r="E17" s="103"/>
      <c r="F17" s="104"/>
      <c r="G17" s="576"/>
      <c r="H17" s="577"/>
      <c r="I17" s="141"/>
      <c r="M17" s="142"/>
      <c r="N17" s="578"/>
      <c r="O17" s="579"/>
      <c r="P17" s="143"/>
    </row>
    <row r="18" spans="2:16">
      <c r="B18" s="580"/>
      <c r="C18" s="581"/>
      <c r="D18" s="581"/>
      <c r="E18" s="105"/>
      <c r="F18" s="106"/>
      <c r="G18" s="106"/>
      <c r="H18" s="106"/>
      <c r="I18" s="144"/>
      <c r="M18" s="100"/>
      <c r="N18" s="100"/>
      <c r="O18" s="100"/>
      <c r="P18" s="145"/>
    </row>
    <row r="19" spans="2:16">
      <c r="B19" s="94" t="s">
        <v>202</v>
      </c>
      <c r="C19" s="564" t="s">
        <v>203</v>
      </c>
      <c r="D19" s="565"/>
      <c r="E19" s="95"/>
      <c r="F19" s="107"/>
      <c r="G19" s="582"/>
      <c r="H19" s="583"/>
      <c r="I19" s="146"/>
      <c r="M19" s="147"/>
      <c r="N19" s="584"/>
      <c r="O19" s="585"/>
      <c r="P19" s="148"/>
    </row>
    <row r="20" spans="2:16">
      <c r="B20" s="97" t="s">
        <v>204</v>
      </c>
      <c r="C20" s="98" t="s">
        <v>205</v>
      </c>
      <c r="D20" s="108">
        <v>8.0399999999999999E-2</v>
      </c>
      <c r="E20" s="100"/>
      <c r="F20" s="101">
        <v>6.7400000000000002E-2</v>
      </c>
      <c r="G20" s="570">
        <v>8.0399999999999999E-2</v>
      </c>
      <c r="H20" s="571"/>
      <c r="I20" s="137">
        <v>9.4E-2</v>
      </c>
      <c r="M20" s="140">
        <v>6.6400000000000001E-2</v>
      </c>
      <c r="N20" s="572">
        <v>7.2999999999999995E-2</v>
      </c>
      <c r="O20" s="573"/>
      <c r="P20" s="139">
        <v>8.6900000000000005E-2</v>
      </c>
    </row>
    <row r="21" spans="2:16">
      <c r="B21" s="574" t="s">
        <v>206</v>
      </c>
      <c r="C21" s="575"/>
      <c r="D21" s="102">
        <f>SUM(D20)</f>
        <v>8.0399999999999999E-2</v>
      </c>
      <c r="E21" s="103"/>
      <c r="F21" s="104"/>
      <c r="G21" s="576"/>
      <c r="H21" s="577"/>
      <c r="I21" s="141"/>
      <c r="M21" s="142"/>
      <c r="N21" s="578"/>
      <c r="O21" s="579"/>
      <c r="P21" s="143"/>
    </row>
    <row r="22" spans="2:16">
      <c r="B22" s="580"/>
      <c r="C22" s="581"/>
      <c r="D22" s="581"/>
      <c r="E22" s="105"/>
      <c r="F22" s="106"/>
      <c r="G22" s="106"/>
      <c r="H22" s="106"/>
      <c r="I22" s="144"/>
    </row>
    <row r="23" spans="2:16" ht="12.75" customHeight="1">
      <c r="B23" s="94" t="s">
        <v>207</v>
      </c>
      <c r="C23" s="564" t="s">
        <v>208</v>
      </c>
      <c r="D23" s="565"/>
      <c r="E23" s="95"/>
      <c r="F23" s="586" t="s">
        <v>209</v>
      </c>
      <c r="G23" s="587"/>
      <c r="H23" s="587"/>
      <c r="I23" s="588"/>
    </row>
    <row r="24" spans="2:16" ht="12.75" customHeight="1">
      <c r="B24" s="97" t="s">
        <v>210</v>
      </c>
      <c r="C24" s="98" t="s">
        <v>211</v>
      </c>
      <c r="D24" s="108">
        <v>6.4999999999999997E-3</v>
      </c>
      <c r="E24" s="100"/>
      <c r="F24" s="593" t="s">
        <v>212</v>
      </c>
      <c r="G24" s="611" t="s">
        <v>213</v>
      </c>
      <c r="H24" s="611"/>
      <c r="I24" s="595" t="s">
        <v>214</v>
      </c>
    </row>
    <row r="25" spans="2:16" ht="18.75" customHeight="1">
      <c r="B25" s="97" t="s">
        <v>215</v>
      </c>
      <c r="C25" s="98" t="s">
        <v>216</v>
      </c>
      <c r="D25" s="108">
        <v>0.03</v>
      </c>
      <c r="E25" s="100"/>
      <c r="F25" s="594"/>
      <c r="G25" s="612"/>
      <c r="H25" s="612"/>
      <c r="I25" s="596"/>
    </row>
    <row r="26" spans="2:16">
      <c r="B26" s="627" t="s">
        <v>217</v>
      </c>
      <c r="C26" s="631" t="s">
        <v>218</v>
      </c>
      <c r="D26" s="635">
        <f>F27</f>
        <v>0.05</v>
      </c>
      <c r="E26" s="100"/>
      <c r="F26" s="111"/>
      <c r="G26" s="106"/>
      <c r="H26" s="106"/>
      <c r="I26" s="144"/>
    </row>
    <row r="27" spans="2:16">
      <c r="B27" s="628"/>
      <c r="C27" s="632"/>
      <c r="D27" s="636"/>
      <c r="E27" s="100"/>
      <c r="F27" s="112">
        <v>0.05</v>
      </c>
      <c r="G27" s="589">
        <v>0.6</v>
      </c>
      <c r="H27" s="590"/>
      <c r="I27" s="149">
        <v>0.03</v>
      </c>
    </row>
    <row r="28" spans="2:16">
      <c r="B28" s="109" t="s">
        <v>219</v>
      </c>
      <c r="C28" s="113" t="s">
        <v>220</v>
      </c>
      <c r="D28" s="110"/>
      <c r="E28" s="100"/>
      <c r="F28" s="114"/>
      <c r="G28" s="114"/>
      <c r="H28" s="114"/>
      <c r="I28" s="150"/>
    </row>
    <row r="29" spans="2:16">
      <c r="B29" s="574" t="s">
        <v>221</v>
      </c>
      <c r="C29" s="575"/>
      <c r="D29" s="102">
        <f>SUM(D24:D28)</f>
        <v>8.6499999999999994E-2</v>
      </c>
      <c r="E29" s="103"/>
      <c r="F29" s="115"/>
      <c r="G29" s="115"/>
      <c r="H29" s="115"/>
      <c r="I29" s="151"/>
    </row>
    <row r="30" spans="2:16">
      <c r="B30" s="623"/>
      <c r="C30" s="624"/>
      <c r="D30" s="624"/>
      <c r="E30" s="116"/>
      <c r="F30" s="115"/>
      <c r="G30" s="115"/>
      <c r="H30" s="115"/>
      <c r="I30" s="151"/>
    </row>
    <row r="31" spans="2:16">
      <c r="B31" s="117"/>
      <c r="C31" s="95" t="s">
        <v>222</v>
      </c>
      <c r="D31" s="118"/>
      <c r="E31" s="118"/>
      <c r="F31" s="115"/>
      <c r="G31" s="115"/>
      <c r="H31" s="115"/>
      <c r="I31" s="151"/>
    </row>
    <row r="32" spans="2:16">
      <c r="B32" s="119"/>
      <c r="C32" s="116"/>
      <c r="D32" s="116"/>
      <c r="E32" s="116"/>
      <c r="F32" s="115"/>
      <c r="G32" s="115"/>
      <c r="H32" s="115"/>
      <c r="I32" s="151"/>
    </row>
    <row r="33" spans="2:9">
      <c r="B33" s="613" t="s">
        <v>223</v>
      </c>
      <c r="C33" s="614"/>
      <c r="D33" s="615"/>
      <c r="E33" s="120"/>
      <c r="F33" s="115"/>
      <c r="G33" s="115"/>
      <c r="H33" s="115"/>
      <c r="I33" s="151"/>
    </row>
    <row r="34" spans="2:9">
      <c r="B34" s="616"/>
      <c r="C34" s="617"/>
      <c r="D34" s="618"/>
      <c r="E34" s="120"/>
      <c r="F34" s="115"/>
      <c r="G34" s="115"/>
      <c r="H34" s="115"/>
      <c r="I34" s="151"/>
    </row>
    <row r="35" spans="2:9">
      <c r="B35" s="121"/>
      <c r="C35" s="122"/>
      <c r="D35" s="123"/>
      <c r="E35" s="123"/>
      <c r="F35" s="115"/>
      <c r="G35" s="115"/>
      <c r="H35" s="115"/>
      <c r="I35" s="151"/>
    </row>
    <row r="36" spans="2:9" ht="15.75">
      <c r="B36" s="619" t="s">
        <v>224</v>
      </c>
      <c r="C36" s="620"/>
      <c r="D36" s="591">
        <f>(((1+D16+D13+D14)*(1+D15)*(1+D21))/(1-D29))-1</f>
        <v>0.2499528430651341</v>
      </c>
      <c r="E36" s="124"/>
      <c r="F36" s="115"/>
      <c r="G36" s="115"/>
      <c r="H36" s="115"/>
      <c r="I36" s="151"/>
    </row>
    <row r="37" spans="2:9" ht="15.75">
      <c r="B37" s="621"/>
      <c r="C37" s="622"/>
      <c r="D37" s="592"/>
      <c r="E37" s="125"/>
      <c r="F37" s="126"/>
      <c r="G37" s="126"/>
      <c r="H37" s="126"/>
      <c r="I37" s="152"/>
    </row>
  </sheetData>
  <mergeCells count="53">
    <mergeCell ref="D36:D37"/>
    <mergeCell ref="F24:F25"/>
    <mergeCell ref="I24:I25"/>
    <mergeCell ref="M8:P9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  <mergeCell ref="B29:C29"/>
    <mergeCell ref="G20:H20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G14:H14"/>
    <mergeCell ref="N14:O14"/>
    <mergeCell ref="G15:H15"/>
    <mergeCell ref="N15:O15"/>
    <mergeCell ref="G16:H16"/>
    <mergeCell ref="N16:O16"/>
    <mergeCell ref="C12:D12"/>
    <mergeCell ref="G12:H12"/>
    <mergeCell ref="N12:O12"/>
    <mergeCell ref="G13:H13"/>
    <mergeCell ref="N13:O13"/>
    <mergeCell ref="M7:P7"/>
    <mergeCell ref="B8:D8"/>
    <mergeCell ref="G10:H10"/>
    <mergeCell ref="N10:O10"/>
    <mergeCell ref="B11:D11"/>
    <mergeCell ref="B2:I2"/>
    <mergeCell ref="B3:I3"/>
    <mergeCell ref="C4:I4"/>
    <mergeCell ref="C5:I5"/>
    <mergeCell ref="B6:I6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0" zoomScaleNormal="100" zoomScaleSheetLayoutView="100" workbookViewId="0">
      <selection activeCell="B38" sqref="B38"/>
    </sheetView>
  </sheetViews>
  <sheetFormatPr defaultColWidth="9" defaultRowHeight="12.75"/>
  <cols>
    <col min="1" max="1" width="15.5703125" style="36" customWidth="1"/>
    <col min="2" max="2" width="48.7109375" style="36" customWidth="1"/>
    <col min="3" max="3" width="14.7109375" style="36" customWidth="1"/>
    <col min="4" max="4" width="1.140625" style="36" customWidth="1"/>
    <col min="5" max="5" width="10.7109375" style="36" customWidth="1"/>
    <col min="6" max="6" width="9.140625" style="36"/>
    <col min="7" max="7" width="5.28515625" style="36" customWidth="1"/>
    <col min="8" max="8" width="10.85546875" style="36" customWidth="1"/>
    <col min="9" max="256" width="9.140625" style="36"/>
    <col min="257" max="257" width="15.5703125" style="36" customWidth="1"/>
    <col min="258" max="258" width="48.7109375" style="36" customWidth="1"/>
    <col min="259" max="259" width="14.7109375" style="36" customWidth="1"/>
    <col min="260" max="260" width="1.140625" style="36" customWidth="1"/>
    <col min="261" max="261" width="10.7109375" style="36" customWidth="1"/>
    <col min="262" max="262" width="9.140625" style="36"/>
    <col min="263" max="263" width="5.28515625" style="36" customWidth="1"/>
    <col min="264" max="264" width="10.85546875" style="36" customWidth="1"/>
    <col min="265" max="512" width="9.140625" style="36"/>
    <col min="513" max="513" width="15.5703125" style="36" customWidth="1"/>
    <col min="514" max="514" width="48.7109375" style="36" customWidth="1"/>
    <col min="515" max="515" width="14.7109375" style="36" customWidth="1"/>
    <col min="516" max="516" width="1.140625" style="36" customWidth="1"/>
    <col min="517" max="517" width="10.7109375" style="36" customWidth="1"/>
    <col min="518" max="518" width="9.140625" style="36"/>
    <col min="519" max="519" width="5.28515625" style="36" customWidth="1"/>
    <col min="520" max="520" width="10.85546875" style="36" customWidth="1"/>
    <col min="521" max="768" width="9.140625" style="36"/>
    <col min="769" max="769" width="15.5703125" style="36" customWidth="1"/>
    <col min="770" max="770" width="48.7109375" style="36" customWidth="1"/>
    <col min="771" max="771" width="14.7109375" style="36" customWidth="1"/>
    <col min="772" max="772" width="1.140625" style="36" customWidth="1"/>
    <col min="773" max="773" width="10.7109375" style="36" customWidth="1"/>
    <col min="774" max="774" width="9.140625" style="36"/>
    <col min="775" max="775" width="5.28515625" style="36" customWidth="1"/>
    <col min="776" max="776" width="10.85546875" style="36" customWidth="1"/>
    <col min="777" max="1024" width="9.140625" style="36"/>
    <col min="1025" max="1025" width="15.5703125" style="36" customWidth="1"/>
    <col min="1026" max="1026" width="48.7109375" style="36" customWidth="1"/>
    <col min="1027" max="1027" width="14.7109375" style="36" customWidth="1"/>
    <col min="1028" max="1028" width="1.140625" style="36" customWidth="1"/>
    <col min="1029" max="1029" width="10.7109375" style="36" customWidth="1"/>
    <col min="1030" max="1030" width="9.140625" style="36"/>
    <col min="1031" max="1031" width="5.28515625" style="36" customWidth="1"/>
    <col min="1032" max="1032" width="10.85546875" style="36" customWidth="1"/>
    <col min="1033" max="1280" width="9.140625" style="36"/>
    <col min="1281" max="1281" width="15.5703125" style="36" customWidth="1"/>
    <col min="1282" max="1282" width="48.7109375" style="36" customWidth="1"/>
    <col min="1283" max="1283" width="14.7109375" style="36" customWidth="1"/>
    <col min="1284" max="1284" width="1.140625" style="36" customWidth="1"/>
    <col min="1285" max="1285" width="10.7109375" style="36" customWidth="1"/>
    <col min="1286" max="1286" width="9.140625" style="36"/>
    <col min="1287" max="1287" width="5.28515625" style="36" customWidth="1"/>
    <col min="1288" max="1288" width="10.85546875" style="36" customWidth="1"/>
    <col min="1289" max="1536" width="9.140625" style="36"/>
    <col min="1537" max="1537" width="15.5703125" style="36" customWidth="1"/>
    <col min="1538" max="1538" width="48.7109375" style="36" customWidth="1"/>
    <col min="1539" max="1539" width="14.7109375" style="36" customWidth="1"/>
    <col min="1540" max="1540" width="1.140625" style="36" customWidth="1"/>
    <col min="1541" max="1541" width="10.7109375" style="36" customWidth="1"/>
    <col min="1542" max="1542" width="9.140625" style="36"/>
    <col min="1543" max="1543" width="5.28515625" style="36" customWidth="1"/>
    <col min="1544" max="1544" width="10.85546875" style="36" customWidth="1"/>
    <col min="1545" max="1792" width="9.140625" style="36"/>
    <col min="1793" max="1793" width="15.5703125" style="36" customWidth="1"/>
    <col min="1794" max="1794" width="48.7109375" style="36" customWidth="1"/>
    <col min="1795" max="1795" width="14.7109375" style="36" customWidth="1"/>
    <col min="1796" max="1796" width="1.140625" style="36" customWidth="1"/>
    <col min="1797" max="1797" width="10.7109375" style="36" customWidth="1"/>
    <col min="1798" max="1798" width="9.140625" style="36"/>
    <col min="1799" max="1799" width="5.28515625" style="36" customWidth="1"/>
    <col min="1800" max="1800" width="10.85546875" style="36" customWidth="1"/>
    <col min="1801" max="2048" width="9.140625" style="36"/>
    <col min="2049" max="2049" width="15.5703125" style="36" customWidth="1"/>
    <col min="2050" max="2050" width="48.7109375" style="36" customWidth="1"/>
    <col min="2051" max="2051" width="14.7109375" style="36" customWidth="1"/>
    <col min="2052" max="2052" width="1.140625" style="36" customWidth="1"/>
    <col min="2053" max="2053" width="10.7109375" style="36" customWidth="1"/>
    <col min="2054" max="2054" width="9.140625" style="36"/>
    <col min="2055" max="2055" width="5.28515625" style="36" customWidth="1"/>
    <col min="2056" max="2056" width="10.85546875" style="36" customWidth="1"/>
    <col min="2057" max="2304" width="9.140625" style="36"/>
    <col min="2305" max="2305" width="15.5703125" style="36" customWidth="1"/>
    <col min="2306" max="2306" width="48.7109375" style="36" customWidth="1"/>
    <col min="2307" max="2307" width="14.7109375" style="36" customWidth="1"/>
    <col min="2308" max="2308" width="1.140625" style="36" customWidth="1"/>
    <col min="2309" max="2309" width="10.7109375" style="36" customWidth="1"/>
    <col min="2310" max="2310" width="9.140625" style="36"/>
    <col min="2311" max="2311" width="5.28515625" style="36" customWidth="1"/>
    <col min="2312" max="2312" width="10.85546875" style="36" customWidth="1"/>
    <col min="2313" max="2560" width="9.140625" style="36"/>
    <col min="2561" max="2561" width="15.5703125" style="36" customWidth="1"/>
    <col min="2562" max="2562" width="48.7109375" style="36" customWidth="1"/>
    <col min="2563" max="2563" width="14.7109375" style="36" customWidth="1"/>
    <col min="2564" max="2564" width="1.140625" style="36" customWidth="1"/>
    <col min="2565" max="2565" width="10.7109375" style="36" customWidth="1"/>
    <col min="2566" max="2566" width="9.140625" style="36"/>
    <col min="2567" max="2567" width="5.28515625" style="36" customWidth="1"/>
    <col min="2568" max="2568" width="10.85546875" style="36" customWidth="1"/>
    <col min="2569" max="2816" width="9.140625" style="36"/>
    <col min="2817" max="2817" width="15.5703125" style="36" customWidth="1"/>
    <col min="2818" max="2818" width="48.7109375" style="36" customWidth="1"/>
    <col min="2819" max="2819" width="14.7109375" style="36" customWidth="1"/>
    <col min="2820" max="2820" width="1.140625" style="36" customWidth="1"/>
    <col min="2821" max="2821" width="10.7109375" style="36" customWidth="1"/>
    <col min="2822" max="2822" width="9.140625" style="36"/>
    <col min="2823" max="2823" width="5.28515625" style="36" customWidth="1"/>
    <col min="2824" max="2824" width="10.85546875" style="36" customWidth="1"/>
    <col min="2825" max="3072" width="9.140625" style="36"/>
    <col min="3073" max="3073" width="15.5703125" style="36" customWidth="1"/>
    <col min="3074" max="3074" width="48.7109375" style="36" customWidth="1"/>
    <col min="3075" max="3075" width="14.7109375" style="36" customWidth="1"/>
    <col min="3076" max="3076" width="1.140625" style="36" customWidth="1"/>
    <col min="3077" max="3077" width="10.7109375" style="36" customWidth="1"/>
    <col min="3078" max="3078" width="9.140625" style="36"/>
    <col min="3079" max="3079" width="5.28515625" style="36" customWidth="1"/>
    <col min="3080" max="3080" width="10.85546875" style="36" customWidth="1"/>
    <col min="3081" max="3328" width="9.140625" style="36"/>
    <col min="3329" max="3329" width="15.5703125" style="36" customWidth="1"/>
    <col min="3330" max="3330" width="48.7109375" style="36" customWidth="1"/>
    <col min="3331" max="3331" width="14.7109375" style="36" customWidth="1"/>
    <col min="3332" max="3332" width="1.140625" style="36" customWidth="1"/>
    <col min="3333" max="3333" width="10.7109375" style="36" customWidth="1"/>
    <col min="3334" max="3334" width="9.140625" style="36"/>
    <col min="3335" max="3335" width="5.28515625" style="36" customWidth="1"/>
    <col min="3336" max="3336" width="10.85546875" style="36" customWidth="1"/>
    <col min="3337" max="3584" width="9.140625" style="36"/>
    <col min="3585" max="3585" width="15.5703125" style="36" customWidth="1"/>
    <col min="3586" max="3586" width="48.7109375" style="36" customWidth="1"/>
    <col min="3587" max="3587" width="14.7109375" style="36" customWidth="1"/>
    <col min="3588" max="3588" width="1.140625" style="36" customWidth="1"/>
    <col min="3589" max="3589" width="10.7109375" style="36" customWidth="1"/>
    <col min="3590" max="3590" width="9.140625" style="36"/>
    <col min="3591" max="3591" width="5.28515625" style="36" customWidth="1"/>
    <col min="3592" max="3592" width="10.85546875" style="36" customWidth="1"/>
    <col min="3593" max="3840" width="9.140625" style="36"/>
    <col min="3841" max="3841" width="15.5703125" style="36" customWidth="1"/>
    <col min="3842" max="3842" width="48.7109375" style="36" customWidth="1"/>
    <col min="3843" max="3843" width="14.7109375" style="36" customWidth="1"/>
    <col min="3844" max="3844" width="1.140625" style="36" customWidth="1"/>
    <col min="3845" max="3845" width="10.7109375" style="36" customWidth="1"/>
    <col min="3846" max="3846" width="9.140625" style="36"/>
    <col min="3847" max="3847" width="5.28515625" style="36" customWidth="1"/>
    <col min="3848" max="3848" width="10.85546875" style="36" customWidth="1"/>
    <col min="3849" max="4096" width="9.140625" style="36"/>
    <col min="4097" max="4097" width="15.5703125" style="36" customWidth="1"/>
    <col min="4098" max="4098" width="48.7109375" style="36" customWidth="1"/>
    <col min="4099" max="4099" width="14.7109375" style="36" customWidth="1"/>
    <col min="4100" max="4100" width="1.140625" style="36" customWidth="1"/>
    <col min="4101" max="4101" width="10.7109375" style="36" customWidth="1"/>
    <col min="4102" max="4102" width="9.140625" style="36"/>
    <col min="4103" max="4103" width="5.28515625" style="36" customWidth="1"/>
    <col min="4104" max="4104" width="10.85546875" style="36" customWidth="1"/>
    <col min="4105" max="4352" width="9.140625" style="36"/>
    <col min="4353" max="4353" width="15.5703125" style="36" customWidth="1"/>
    <col min="4354" max="4354" width="48.7109375" style="36" customWidth="1"/>
    <col min="4355" max="4355" width="14.7109375" style="36" customWidth="1"/>
    <col min="4356" max="4356" width="1.140625" style="36" customWidth="1"/>
    <col min="4357" max="4357" width="10.7109375" style="36" customWidth="1"/>
    <col min="4358" max="4358" width="9.140625" style="36"/>
    <col min="4359" max="4359" width="5.28515625" style="36" customWidth="1"/>
    <col min="4360" max="4360" width="10.85546875" style="36" customWidth="1"/>
    <col min="4361" max="4608" width="9.140625" style="36"/>
    <col min="4609" max="4609" width="15.5703125" style="36" customWidth="1"/>
    <col min="4610" max="4610" width="48.7109375" style="36" customWidth="1"/>
    <col min="4611" max="4611" width="14.7109375" style="36" customWidth="1"/>
    <col min="4612" max="4612" width="1.140625" style="36" customWidth="1"/>
    <col min="4613" max="4613" width="10.7109375" style="36" customWidth="1"/>
    <col min="4614" max="4614" width="9.140625" style="36"/>
    <col min="4615" max="4615" width="5.28515625" style="36" customWidth="1"/>
    <col min="4616" max="4616" width="10.85546875" style="36" customWidth="1"/>
    <col min="4617" max="4864" width="9.140625" style="36"/>
    <col min="4865" max="4865" width="15.5703125" style="36" customWidth="1"/>
    <col min="4866" max="4866" width="48.7109375" style="36" customWidth="1"/>
    <col min="4867" max="4867" width="14.7109375" style="36" customWidth="1"/>
    <col min="4868" max="4868" width="1.140625" style="36" customWidth="1"/>
    <col min="4869" max="4869" width="10.7109375" style="36" customWidth="1"/>
    <col min="4870" max="4870" width="9.140625" style="36"/>
    <col min="4871" max="4871" width="5.28515625" style="36" customWidth="1"/>
    <col min="4872" max="4872" width="10.85546875" style="36" customWidth="1"/>
    <col min="4873" max="5120" width="9.140625" style="36"/>
    <col min="5121" max="5121" width="15.5703125" style="36" customWidth="1"/>
    <col min="5122" max="5122" width="48.7109375" style="36" customWidth="1"/>
    <col min="5123" max="5123" width="14.7109375" style="36" customWidth="1"/>
    <col min="5124" max="5124" width="1.140625" style="36" customWidth="1"/>
    <col min="5125" max="5125" width="10.7109375" style="36" customWidth="1"/>
    <col min="5126" max="5126" width="9.140625" style="36"/>
    <col min="5127" max="5127" width="5.28515625" style="36" customWidth="1"/>
    <col min="5128" max="5128" width="10.85546875" style="36" customWidth="1"/>
    <col min="5129" max="5376" width="9.140625" style="36"/>
    <col min="5377" max="5377" width="15.5703125" style="36" customWidth="1"/>
    <col min="5378" max="5378" width="48.7109375" style="36" customWidth="1"/>
    <col min="5379" max="5379" width="14.7109375" style="36" customWidth="1"/>
    <col min="5380" max="5380" width="1.140625" style="36" customWidth="1"/>
    <col min="5381" max="5381" width="10.7109375" style="36" customWidth="1"/>
    <col min="5382" max="5382" width="9.140625" style="36"/>
    <col min="5383" max="5383" width="5.28515625" style="36" customWidth="1"/>
    <col min="5384" max="5384" width="10.85546875" style="36" customWidth="1"/>
    <col min="5385" max="5632" width="9.140625" style="36"/>
    <col min="5633" max="5633" width="15.5703125" style="36" customWidth="1"/>
    <col min="5634" max="5634" width="48.7109375" style="36" customWidth="1"/>
    <col min="5635" max="5635" width="14.7109375" style="36" customWidth="1"/>
    <col min="5636" max="5636" width="1.140625" style="36" customWidth="1"/>
    <col min="5637" max="5637" width="10.7109375" style="36" customWidth="1"/>
    <col min="5638" max="5638" width="9.140625" style="36"/>
    <col min="5639" max="5639" width="5.28515625" style="36" customWidth="1"/>
    <col min="5640" max="5640" width="10.85546875" style="36" customWidth="1"/>
    <col min="5641" max="5888" width="9.140625" style="36"/>
    <col min="5889" max="5889" width="15.5703125" style="36" customWidth="1"/>
    <col min="5890" max="5890" width="48.7109375" style="36" customWidth="1"/>
    <col min="5891" max="5891" width="14.7109375" style="36" customWidth="1"/>
    <col min="5892" max="5892" width="1.140625" style="36" customWidth="1"/>
    <col min="5893" max="5893" width="10.7109375" style="36" customWidth="1"/>
    <col min="5894" max="5894" width="9.140625" style="36"/>
    <col min="5895" max="5895" width="5.28515625" style="36" customWidth="1"/>
    <col min="5896" max="5896" width="10.85546875" style="36" customWidth="1"/>
    <col min="5897" max="6144" width="9.140625" style="36"/>
    <col min="6145" max="6145" width="15.5703125" style="36" customWidth="1"/>
    <col min="6146" max="6146" width="48.7109375" style="36" customWidth="1"/>
    <col min="6147" max="6147" width="14.7109375" style="36" customWidth="1"/>
    <col min="6148" max="6148" width="1.140625" style="36" customWidth="1"/>
    <col min="6149" max="6149" width="10.7109375" style="36" customWidth="1"/>
    <col min="6150" max="6150" width="9.140625" style="36"/>
    <col min="6151" max="6151" width="5.28515625" style="36" customWidth="1"/>
    <col min="6152" max="6152" width="10.85546875" style="36" customWidth="1"/>
    <col min="6153" max="6400" width="9.140625" style="36"/>
    <col min="6401" max="6401" width="15.5703125" style="36" customWidth="1"/>
    <col min="6402" max="6402" width="48.7109375" style="36" customWidth="1"/>
    <col min="6403" max="6403" width="14.7109375" style="36" customWidth="1"/>
    <col min="6404" max="6404" width="1.140625" style="36" customWidth="1"/>
    <col min="6405" max="6405" width="10.7109375" style="36" customWidth="1"/>
    <col min="6406" max="6406" width="9.140625" style="36"/>
    <col min="6407" max="6407" width="5.28515625" style="36" customWidth="1"/>
    <col min="6408" max="6408" width="10.85546875" style="36" customWidth="1"/>
    <col min="6409" max="6656" width="9.140625" style="36"/>
    <col min="6657" max="6657" width="15.5703125" style="36" customWidth="1"/>
    <col min="6658" max="6658" width="48.7109375" style="36" customWidth="1"/>
    <col min="6659" max="6659" width="14.7109375" style="36" customWidth="1"/>
    <col min="6660" max="6660" width="1.140625" style="36" customWidth="1"/>
    <col min="6661" max="6661" width="10.7109375" style="36" customWidth="1"/>
    <col min="6662" max="6662" width="9.140625" style="36"/>
    <col min="6663" max="6663" width="5.28515625" style="36" customWidth="1"/>
    <col min="6664" max="6664" width="10.85546875" style="36" customWidth="1"/>
    <col min="6665" max="6912" width="9.140625" style="36"/>
    <col min="6913" max="6913" width="15.5703125" style="36" customWidth="1"/>
    <col min="6914" max="6914" width="48.7109375" style="36" customWidth="1"/>
    <col min="6915" max="6915" width="14.7109375" style="36" customWidth="1"/>
    <col min="6916" max="6916" width="1.140625" style="36" customWidth="1"/>
    <col min="6917" max="6917" width="10.7109375" style="36" customWidth="1"/>
    <col min="6918" max="6918" width="9.140625" style="36"/>
    <col min="6919" max="6919" width="5.28515625" style="36" customWidth="1"/>
    <col min="6920" max="6920" width="10.85546875" style="36" customWidth="1"/>
    <col min="6921" max="7168" width="9.140625" style="36"/>
    <col min="7169" max="7169" width="15.5703125" style="36" customWidth="1"/>
    <col min="7170" max="7170" width="48.7109375" style="36" customWidth="1"/>
    <col min="7171" max="7171" width="14.7109375" style="36" customWidth="1"/>
    <col min="7172" max="7172" width="1.140625" style="36" customWidth="1"/>
    <col min="7173" max="7173" width="10.7109375" style="36" customWidth="1"/>
    <col min="7174" max="7174" width="9.140625" style="36"/>
    <col min="7175" max="7175" width="5.28515625" style="36" customWidth="1"/>
    <col min="7176" max="7176" width="10.85546875" style="36" customWidth="1"/>
    <col min="7177" max="7424" width="9.140625" style="36"/>
    <col min="7425" max="7425" width="15.5703125" style="36" customWidth="1"/>
    <col min="7426" max="7426" width="48.7109375" style="36" customWidth="1"/>
    <col min="7427" max="7427" width="14.7109375" style="36" customWidth="1"/>
    <col min="7428" max="7428" width="1.140625" style="36" customWidth="1"/>
    <col min="7429" max="7429" width="10.7109375" style="36" customWidth="1"/>
    <col min="7430" max="7430" width="9.140625" style="36"/>
    <col min="7431" max="7431" width="5.28515625" style="36" customWidth="1"/>
    <col min="7432" max="7432" width="10.85546875" style="36" customWidth="1"/>
    <col min="7433" max="7680" width="9.140625" style="36"/>
    <col min="7681" max="7681" width="15.5703125" style="36" customWidth="1"/>
    <col min="7682" max="7682" width="48.7109375" style="36" customWidth="1"/>
    <col min="7683" max="7683" width="14.7109375" style="36" customWidth="1"/>
    <col min="7684" max="7684" width="1.140625" style="36" customWidth="1"/>
    <col min="7685" max="7685" width="10.7109375" style="36" customWidth="1"/>
    <col min="7686" max="7686" width="9.140625" style="36"/>
    <col min="7687" max="7687" width="5.28515625" style="36" customWidth="1"/>
    <col min="7688" max="7688" width="10.85546875" style="36" customWidth="1"/>
    <col min="7689" max="7936" width="9.140625" style="36"/>
    <col min="7937" max="7937" width="15.5703125" style="36" customWidth="1"/>
    <col min="7938" max="7938" width="48.7109375" style="36" customWidth="1"/>
    <col min="7939" max="7939" width="14.7109375" style="36" customWidth="1"/>
    <col min="7940" max="7940" width="1.140625" style="36" customWidth="1"/>
    <col min="7941" max="7941" width="10.7109375" style="36" customWidth="1"/>
    <col min="7942" max="7942" width="9.140625" style="36"/>
    <col min="7943" max="7943" width="5.28515625" style="36" customWidth="1"/>
    <col min="7944" max="7944" width="10.85546875" style="36" customWidth="1"/>
    <col min="7945" max="8192" width="9.140625" style="36"/>
    <col min="8193" max="8193" width="15.5703125" style="36" customWidth="1"/>
    <col min="8194" max="8194" width="48.7109375" style="36" customWidth="1"/>
    <col min="8195" max="8195" width="14.7109375" style="36" customWidth="1"/>
    <col min="8196" max="8196" width="1.140625" style="36" customWidth="1"/>
    <col min="8197" max="8197" width="10.7109375" style="36" customWidth="1"/>
    <col min="8198" max="8198" width="9.140625" style="36"/>
    <col min="8199" max="8199" width="5.28515625" style="36" customWidth="1"/>
    <col min="8200" max="8200" width="10.85546875" style="36" customWidth="1"/>
    <col min="8201" max="8448" width="9.140625" style="36"/>
    <col min="8449" max="8449" width="15.5703125" style="36" customWidth="1"/>
    <col min="8450" max="8450" width="48.7109375" style="36" customWidth="1"/>
    <col min="8451" max="8451" width="14.7109375" style="36" customWidth="1"/>
    <col min="8452" max="8452" width="1.140625" style="36" customWidth="1"/>
    <col min="8453" max="8453" width="10.7109375" style="36" customWidth="1"/>
    <col min="8454" max="8454" width="9.140625" style="36"/>
    <col min="8455" max="8455" width="5.28515625" style="36" customWidth="1"/>
    <col min="8456" max="8456" width="10.85546875" style="36" customWidth="1"/>
    <col min="8457" max="8704" width="9.140625" style="36"/>
    <col min="8705" max="8705" width="15.5703125" style="36" customWidth="1"/>
    <col min="8706" max="8706" width="48.7109375" style="36" customWidth="1"/>
    <col min="8707" max="8707" width="14.7109375" style="36" customWidth="1"/>
    <col min="8708" max="8708" width="1.140625" style="36" customWidth="1"/>
    <col min="8709" max="8709" width="10.7109375" style="36" customWidth="1"/>
    <col min="8710" max="8710" width="9.140625" style="36"/>
    <col min="8711" max="8711" width="5.28515625" style="36" customWidth="1"/>
    <col min="8712" max="8712" width="10.85546875" style="36" customWidth="1"/>
    <col min="8713" max="8960" width="9.140625" style="36"/>
    <col min="8961" max="8961" width="15.5703125" style="36" customWidth="1"/>
    <col min="8962" max="8962" width="48.7109375" style="36" customWidth="1"/>
    <col min="8963" max="8963" width="14.7109375" style="36" customWidth="1"/>
    <col min="8964" max="8964" width="1.140625" style="36" customWidth="1"/>
    <col min="8965" max="8965" width="10.7109375" style="36" customWidth="1"/>
    <col min="8966" max="8966" width="9.140625" style="36"/>
    <col min="8967" max="8967" width="5.28515625" style="36" customWidth="1"/>
    <col min="8968" max="8968" width="10.85546875" style="36" customWidth="1"/>
    <col min="8969" max="9216" width="9.140625" style="36"/>
    <col min="9217" max="9217" width="15.5703125" style="36" customWidth="1"/>
    <col min="9218" max="9218" width="48.7109375" style="36" customWidth="1"/>
    <col min="9219" max="9219" width="14.7109375" style="36" customWidth="1"/>
    <col min="9220" max="9220" width="1.140625" style="36" customWidth="1"/>
    <col min="9221" max="9221" width="10.7109375" style="36" customWidth="1"/>
    <col min="9222" max="9222" width="9.140625" style="36"/>
    <col min="9223" max="9223" width="5.28515625" style="36" customWidth="1"/>
    <col min="9224" max="9224" width="10.85546875" style="36" customWidth="1"/>
    <col min="9225" max="9472" width="9.140625" style="36"/>
    <col min="9473" max="9473" width="15.5703125" style="36" customWidth="1"/>
    <col min="9474" max="9474" width="48.7109375" style="36" customWidth="1"/>
    <col min="9475" max="9475" width="14.7109375" style="36" customWidth="1"/>
    <col min="9476" max="9476" width="1.140625" style="36" customWidth="1"/>
    <col min="9477" max="9477" width="10.7109375" style="36" customWidth="1"/>
    <col min="9478" max="9478" width="9.140625" style="36"/>
    <col min="9479" max="9479" width="5.28515625" style="36" customWidth="1"/>
    <col min="9480" max="9480" width="10.85546875" style="36" customWidth="1"/>
    <col min="9481" max="9728" width="9.140625" style="36"/>
    <col min="9729" max="9729" width="15.5703125" style="36" customWidth="1"/>
    <col min="9730" max="9730" width="48.7109375" style="36" customWidth="1"/>
    <col min="9731" max="9731" width="14.7109375" style="36" customWidth="1"/>
    <col min="9732" max="9732" width="1.140625" style="36" customWidth="1"/>
    <col min="9733" max="9733" width="10.7109375" style="36" customWidth="1"/>
    <col min="9734" max="9734" width="9.140625" style="36"/>
    <col min="9735" max="9735" width="5.28515625" style="36" customWidth="1"/>
    <col min="9736" max="9736" width="10.85546875" style="36" customWidth="1"/>
    <col min="9737" max="9984" width="9.140625" style="36"/>
    <col min="9985" max="9985" width="15.5703125" style="36" customWidth="1"/>
    <col min="9986" max="9986" width="48.7109375" style="36" customWidth="1"/>
    <col min="9987" max="9987" width="14.7109375" style="36" customWidth="1"/>
    <col min="9988" max="9988" width="1.140625" style="36" customWidth="1"/>
    <col min="9989" max="9989" width="10.7109375" style="36" customWidth="1"/>
    <col min="9990" max="9990" width="9.140625" style="36"/>
    <col min="9991" max="9991" width="5.28515625" style="36" customWidth="1"/>
    <col min="9992" max="9992" width="10.85546875" style="36" customWidth="1"/>
    <col min="9993" max="10240" width="9.140625" style="36"/>
    <col min="10241" max="10241" width="15.5703125" style="36" customWidth="1"/>
    <col min="10242" max="10242" width="48.7109375" style="36" customWidth="1"/>
    <col min="10243" max="10243" width="14.7109375" style="36" customWidth="1"/>
    <col min="10244" max="10244" width="1.140625" style="36" customWidth="1"/>
    <col min="10245" max="10245" width="10.7109375" style="36" customWidth="1"/>
    <col min="10246" max="10246" width="9.140625" style="36"/>
    <col min="10247" max="10247" width="5.28515625" style="36" customWidth="1"/>
    <col min="10248" max="10248" width="10.85546875" style="36" customWidth="1"/>
    <col min="10249" max="10496" width="9.140625" style="36"/>
    <col min="10497" max="10497" width="15.5703125" style="36" customWidth="1"/>
    <col min="10498" max="10498" width="48.7109375" style="36" customWidth="1"/>
    <col min="10499" max="10499" width="14.7109375" style="36" customWidth="1"/>
    <col min="10500" max="10500" width="1.140625" style="36" customWidth="1"/>
    <col min="10501" max="10501" width="10.7109375" style="36" customWidth="1"/>
    <col min="10502" max="10502" width="9.140625" style="36"/>
    <col min="10503" max="10503" width="5.28515625" style="36" customWidth="1"/>
    <col min="10504" max="10504" width="10.85546875" style="36" customWidth="1"/>
    <col min="10505" max="10752" width="9.140625" style="36"/>
    <col min="10753" max="10753" width="15.5703125" style="36" customWidth="1"/>
    <col min="10754" max="10754" width="48.7109375" style="36" customWidth="1"/>
    <col min="10755" max="10755" width="14.7109375" style="36" customWidth="1"/>
    <col min="10756" max="10756" width="1.140625" style="36" customWidth="1"/>
    <col min="10757" max="10757" width="10.7109375" style="36" customWidth="1"/>
    <col min="10758" max="10758" width="9.140625" style="36"/>
    <col min="10759" max="10759" width="5.28515625" style="36" customWidth="1"/>
    <col min="10760" max="10760" width="10.85546875" style="36" customWidth="1"/>
    <col min="10761" max="11008" width="9.140625" style="36"/>
    <col min="11009" max="11009" width="15.5703125" style="36" customWidth="1"/>
    <col min="11010" max="11010" width="48.7109375" style="36" customWidth="1"/>
    <col min="11011" max="11011" width="14.7109375" style="36" customWidth="1"/>
    <col min="11012" max="11012" width="1.140625" style="36" customWidth="1"/>
    <col min="11013" max="11013" width="10.7109375" style="36" customWidth="1"/>
    <col min="11014" max="11014" width="9.140625" style="36"/>
    <col min="11015" max="11015" width="5.28515625" style="36" customWidth="1"/>
    <col min="11016" max="11016" width="10.85546875" style="36" customWidth="1"/>
    <col min="11017" max="11264" width="9.140625" style="36"/>
    <col min="11265" max="11265" width="15.5703125" style="36" customWidth="1"/>
    <col min="11266" max="11266" width="48.7109375" style="36" customWidth="1"/>
    <col min="11267" max="11267" width="14.7109375" style="36" customWidth="1"/>
    <col min="11268" max="11268" width="1.140625" style="36" customWidth="1"/>
    <col min="11269" max="11269" width="10.7109375" style="36" customWidth="1"/>
    <col min="11270" max="11270" width="9.140625" style="36"/>
    <col min="11271" max="11271" width="5.28515625" style="36" customWidth="1"/>
    <col min="11272" max="11272" width="10.85546875" style="36" customWidth="1"/>
    <col min="11273" max="11520" width="9.140625" style="36"/>
    <col min="11521" max="11521" width="15.5703125" style="36" customWidth="1"/>
    <col min="11522" max="11522" width="48.7109375" style="36" customWidth="1"/>
    <col min="11523" max="11523" width="14.7109375" style="36" customWidth="1"/>
    <col min="11524" max="11524" width="1.140625" style="36" customWidth="1"/>
    <col min="11525" max="11525" width="10.7109375" style="36" customWidth="1"/>
    <col min="11526" max="11526" width="9.140625" style="36"/>
    <col min="11527" max="11527" width="5.28515625" style="36" customWidth="1"/>
    <col min="11528" max="11528" width="10.85546875" style="36" customWidth="1"/>
    <col min="11529" max="11776" width="9.140625" style="36"/>
    <col min="11777" max="11777" width="15.5703125" style="36" customWidth="1"/>
    <col min="11778" max="11778" width="48.7109375" style="36" customWidth="1"/>
    <col min="11779" max="11779" width="14.7109375" style="36" customWidth="1"/>
    <col min="11780" max="11780" width="1.140625" style="36" customWidth="1"/>
    <col min="11781" max="11781" width="10.7109375" style="36" customWidth="1"/>
    <col min="11782" max="11782" width="9.140625" style="36"/>
    <col min="11783" max="11783" width="5.28515625" style="36" customWidth="1"/>
    <col min="11784" max="11784" width="10.85546875" style="36" customWidth="1"/>
    <col min="11785" max="12032" width="9.140625" style="36"/>
    <col min="12033" max="12033" width="15.5703125" style="36" customWidth="1"/>
    <col min="12034" max="12034" width="48.7109375" style="36" customWidth="1"/>
    <col min="12035" max="12035" width="14.7109375" style="36" customWidth="1"/>
    <col min="12036" max="12036" width="1.140625" style="36" customWidth="1"/>
    <col min="12037" max="12037" width="10.7109375" style="36" customWidth="1"/>
    <col min="12038" max="12038" width="9.140625" style="36"/>
    <col min="12039" max="12039" width="5.28515625" style="36" customWidth="1"/>
    <col min="12040" max="12040" width="10.85546875" style="36" customWidth="1"/>
    <col min="12041" max="12288" width="9.140625" style="36"/>
    <col min="12289" max="12289" width="15.5703125" style="36" customWidth="1"/>
    <col min="12290" max="12290" width="48.7109375" style="36" customWidth="1"/>
    <col min="12291" max="12291" width="14.7109375" style="36" customWidth="1"/>
    <col min="12292" max="12292" width="1.140625" style="36" customWidth="1"/>
    <col min="12293" max="12293" width="10.7109375" style="36" customWidth="1"/>
    <col min="12294" max="12294" width="9.140625" style="36"/>
    <col min="12295" max="12295" width="5.28515625" style="36" customWidth="1"/>
    <col min="12296" max="12296" width="10.85546875" style="36" customWidth="1"/>
    <col min="12297" max="12544" width="9.140625" style="36"/>
    <col min="12545" max="12545" width="15.5703125" style="36" customWidth="1"/>
    <col min="12546" max="12546" width="48.7109375" style="36" customWidth="1"/>
    <col min="12547" max="12547" width="14.7109375" style="36" customWidth="1"/>
    <col min="12548" max="12548" width="1.140625" style="36" customWidth="1"/>
    <col min="12549" max="12549" width="10.7109375" style="36" customWidth="1"/>
    <col min="12550" max="12550" width="9.140625" style="36"/>
    <col min="12551" max="12551" width="5.28515625" style="36" customWidth="1"/>
    <col min="12552" max="12552" width="10.85546875" style="36" customWidth="1"/>
    <col min="12553" max="12800" width="9.140625" style="36"/>
    <col min="12801" max="12801" width="15.5703125" style="36" customWidth="1"/>
    <col min="12802" max="12802" width="48.7109375" style="36" customWidth="1"/>
    <col min="12803" max="12803" width="14.7109375" style="36" customWidth="1"/>
    <col min="12804" max="12804" width="1.140625" style="36" customWidth="1"/>
    <col min="12805" max="12805" width="10.7109375" style="36" customWidth="1"/>
    <col min="12806" max="12806" width="9.140625" style="36"/>
    <col min="12807" max="12807" width="5.28515625" style="36" customWidth="1"/>
    <col min="12808" max="12808" width="10.85546875" style="36" customWidth="1"/>
    <col min="12809" max="13056" width="9.140625" style="36"/>
    <col min="13057" max="13057" width="15.5703125" style="36" customWidth="1"/>
    <col min="13058" max="13058" width="48.7109375" style="36" customWidth="1"/>
    <col min="13059" max="13059" width="14.7109375" style="36" customWidth="1"/>
    <col min="13060" max="13060" width="1.140625" style="36" customWidth="1"/>
    <col min="13061" max="13061" width="10.7109375" style="36" customWidth="1"/>
    <col min="13062" max="13062" width="9.140625" style="36"/>
    <col min="13063" max="13063" width="5.28515625" style="36" customWidth="1"/>
    <col min="13064" max="13064" width="10.85546875" style="36" customWidth="1"/>
    <col min="13065" max="13312" width="9.140625" style="36"/>
    <col min="13313" max="13313" width="15.5703125" style="36" customWidth="1"/>
    <col min="13314" max="13314" width="48.7109375" style="36" customWidth="1"/>
    <col min="13315" max="13315" width="14.7109375" style="36" customWidth="1"/>
    <col min="13316" max="13316" width="1.140625" style="36" customWidth="1"/>
    <col min="13317" max="13317" width="10.7109375" style="36" customWidth="1"/>
    <col min="13318" max="13318" width="9.140625" style="36"/>
    <col min="13319" max="13319" width="5.28515625" style="36" customWidth="1"/>
    <col min="13320" max="13320" width="10.85546875" style="36" customWidth="1"/>
    <col min="13321" max="13568" width="9.140625" style="36"/>
    <col min="13569" max="13569" width="15.5703125" style="36" customWidth="1"/>
    <col min="13570" max="13570" width="48.7109375" style="36" customWidth="1"/>
    <col min="13571" max="13571" width="14.7109375" style="36" customWidth="1"/>
    <col min="13572" max="13572" width="1.140625" style="36" customWidth="1"/>
    <col min="13573" max="13573" width="10.7109375" style="36" customWidth="1"/>
    <col min="13574" max="13574" width="9.140625" style="36"/>
    <col min="13575" max="13575" width="5.28515625" style="36" customWidth="1"/>
    <col min="13576" max="13576" width="10.85546875" style="36" customWidth="1"/>
    <col min="13577" max="13824" width="9.140625" style="36"/>
    <col min="13825" max="13825" width="15.5703125" style="36" customWidth="1"/>
    <col min="13826" max="13826" width="48.7109375" style="36" customWidth="1"/>
    <col min="13827" max="13827" width="14.7109375" style="36" customWidth="1"/>
    <col min="13828" max="13828" width="1.140625" style="36" customWidth="1"/>
    <col min="13829" max="13829" width="10.7109375" style="36" customWidth="1"/>
    <col min="13830" max="13830" width="9.140625" style="36"/>
    <col min="13831" max="13831" width="5.28515625" style="36" customWidth="1"/>
    <col min="13832" max="13832" width="10.85546875" style="36" customWidth="1"/>
    <col min="13833" max="14080" width="9.140625" style="36"/>
    <col min="14081" max="14081" width="15.5703125" style="36" customWidth="1"/>
    <col min="14082" max="14082" width="48.7109375" style="36" customWidth="1"/>
    <col min="14083" max="14083" width="14.7109375" style="36" customWidth="1"/>
    <col min="14084" max="14084" width="1.140625" style="36" customWidth="1"/>
    <col min="14085" max="14085" width="10.7109375" style="36" customWidth="1"/>
    <col min="14086" max="14086" width="9.140625" style="36"/>
    <col min="14087" max="14087" width="5.28515625" style="36" customWidth="1"/>
    <col min="14088" max="14088" width="10.85546875" style="36" customWidth="1"/>
    <col min="14089" max="14336" width="9.140625" style="36"/>
    <col min="14337" max="14337" width="15.5703125" style="36" customWidth="1"/>
    <col min="14338" max="14338" width="48.7109375" style="36" customWidth="1"/>
    <col min="14339" max="14339" width="14.7109375" style="36" customWidth="1"/>
    <col min="14340" max="14340" width="1.140625" style="36" customWidth="1"/>
    <col min="14341" max="14341" width="10.7109375" style="36" customWidth="1"/>
    <col min="14342" max="14342" width="9.140625" style="36"/>
    <col min="14343" max="14343" width="5.28515625" style="36" customWidth="1"/>
    <col min="14344" max="14344" width="10.85546875" style="36" customWidth="1"/>
    <col min="14345" max="14592" width="9.140625" style="36"/>
    <col min="14593" max="14593" width="15.5703125" style="36" customWidth="1"/>
    <col min="14594" max="14594" width="48.7109375" style="36" customWidth="1"/>
    <col min="14595" max="14595" width="14.7109375" style="36" customWidth="1"/>
    <col min="14596" max="14596" width="1.140625" style="36" customWidth="1"/>
    <col min="14597" max="14597" width="10.7109375" style="36" customWidth="1"/>
    <col min="14598" max="14598" width="9.140625" style="36"/>
    <col min="14599" max="14599" width="5.28515625" style="36" customWidth="1"/>
    <col min="14600" max="14600" width="10.85546875" style="36" customWidth="1"/>
    <col min="14601" max="14848" width="9.140625" style="36"/>
    <col min="14849" max="14849" width="15.5703125" style="36" customWidth="1"/>
    <col min="14850" max="14850" width="48.7109375" style="36" customWidth="1"/>
    <col min="14851" max="14851" width="14.7109375" style="36" customWidth="1"/>
    <col min="14852" max="14852" width="1.140625" style="36" customWidth="1"/>
    <col min="14853" max="14853" width="10.7109375" style="36" customWidth="1"/>
    <col min="14854" max="14854" width="9.140625" style="36"/>
    <col min="14855" max="14855" width="5.28515625" style="36" customWidth="1"/>
    <col min="14856" max="14856" width="10.85546875" style="36" customWidth="1"/>
    <col min="14857" max="15104" width="9.140625" style="36"/>
    <col min="15105" max="15105" width="15.5703125" style="36" customWidth="1"/>
    <col min="15106" max="15106" width="48.7109375" style="36" customWidth="1"/>
    <col min="15107" max="15107" width="14.7109375" style="36" customWidth="1"/>
    <col min="15108" max="15108" width="1.140625" style="36" customWidth="1"/>
    <col min="15109" max="15109" width="10.7109375" style="36" customWidth="1"/>
    <col min="15110" max="15110" width="9.140625" style="36"/>
    <col min="15111" max="15111" width="5.28515625" style="36" customWidth="1"/>
    <col min="15112" max="15112" width="10.85546875" style="36" customWidth="1"/>
    <col min="15113" max="15360" width="9.140625" style="36"/>
    <col min="15361" max="15361" width="15.5703125" style="36" customWidth="1"/>
    <col min="15362" max="15362" width="48.7109375" style="36" customWidth="1"/>
    <col min="15363" max="15363" width="14.7109375" style="36" customWidth="1"/>
    <col min="15364" max="15364" width="1.140625" style="36" customWidth="1"/>
    <col min="15365" max="15365" width="10.7109375" style="36" customWidth="1"/>
    <col min="15366" max="15366" width="9.140625" style="36"/>
    <col min="15367" max="15367" width="5.28515625" style="36" customWidth="1"/>
    <col min="15368" max="15368" width="10.85546875" style="36" customWidth="1"/>
    <col min="15369" max="15616" width="9.140625" style="36"/>
    <col min="15617" max="15617" width="15.5703125" style="36" customWidth="1"/>
    <col min="15618" max="15618" width="48.7109375" style="36" customWidth="1"/>
    <col min="15619" max="15619" width="14.7109375" style="36" customWidth="1"/>
    <col min="15620" max="15620" width="1.140625" style="36" customWidth="1"/>
    <col min="15621" max="15621" width="10.7109375" style="36" customWidth="1"/>
    <col min="15622" max="15622" width="9.140625" style="36"/>
    <col min="15623" max="15623" width="5.28515625" style="36" customWidth="1"/>
    <col min="15624" max="15624" width="10.85546875" style="36" customWidth="1"/>
    <col min="15625" max="15872" width="9.140625" style="36"/>
    <col min="15873" max="15873" width="15.5703125" style="36" customWidth="1"/>
    <col min="15874" max="15874" width="48.7109375" style="36" customWidth="1"/>
    <col min="15875" max="15875" width="14.7109375" style="36" customWidth="1"/>
    <col min="15876" max="15876" width="1.140625" style="36" customWidth="1"/>
    <col min="15877" max="15877" width="10.7109375" style="36" customWidth="1"/>
    <col min="15878" max="15878" width="9.140625" style="36"/>
    <col min="15879" max="15879" width="5.28515625" style="36" customWidth="1"/>
    <col min="15880" max="15880" width="10.85546875" style="36" customWidth="1"/>
    <col min="15881" max="16128" width="9.140625" style="36"/>
    <col min="16129" max="16129" width="15.5703125" style="36" customWidth="1"/>
    <col min="16130" max="16130" width="48.7109375" style="36" customWidth="1"/>
    <col min="16131" max="16131" width="14.7109375" style="36" customWidth="1"/>
    <col min="16132" max="16132" width="1.140625" style="36" customWidth="1"/>
    <col min="16133" max="16133" width="10.7109375" style="36" customWidth="1"/>
    <col min="16134" max="16134" width="9.140625" style="36"/>
    <col min="16135" max="16135" width="5.28515625" style="36" customWidth="1"/>
    <col min="16136" max="16136" width="10.85546875" style="36" customWidth="1"/>
    <col min="16137" max="16384" width="9.140625" style="36"/>
  </cols>
  <sheetData>
    <row r="1" spans="1:8" ht="22.5" customHeight="1">
      <c r="A1" s="637" t="s">
        <v>225</v>
      </c>
      <c r="B1" s="638"/>
      <c r="C1" s="638"/>
      <c r="D1" s="638"/>
      <c r="E1" s="638"/>
      <c r="F1" s="638"/>
      <c r="G1" s="638"/>
      <c r="H1" s="639"/>
    </row>
    <row r="2" spans="1:8" ht="22.5" customHeight="1">
      <c r="A2" s="640" t="s">
        <v>226</v>
      </c>
      <c r="B2" s="641"/>
      <c r="C2" s="641"/>
      <c r="D2" s="641"/>
      <c r="E2" s="641"/>
      <c r="F2" s="641"/>
      <c r="G2" s="641"/>
      <c r="H2" s="642"/>
    </row>
    <row r="3" spans="1:8" ht="42.75" customHeight="1">
      <c r="A3" s="37" t="s">
        <v>181</v>
      </c>
      <c r="B3" s="550" t="s">
        <v>4</v>
      </c>
      <c r="C3" s="531"/>
      <c r="D3" s="531"/>
      <c r="E3" s="531"/>
      <c r="F3" s="531"/>
      <c r="G3" s="531"/>
      <c r="H3" s="532"/>
    </row>
    <row r="4" spans="1:8" ht="34.5" customHeight="1">
      <c r="A4" s="38" t="s">
        <v>227</v>
      </c>
      <c r="B4" s="643" t="s">
        <v>228</v>
      </c>
      <c r="C4" s="643"/>
      <c r="D4" s="643"/>
      <c r="E4" s="643"/>
      <c r="F4" s="643"/>
      <c r="G4" s="643"/>
      <c r="H4" s="644"/>
    </row>
    <row r="5" spans="1:8" ht="27" customHeight="1">
      <c r="A5" s="645" t="s">
        <v>229</v>
      </c>
      <c r="B5" s="646"/>
      <c r="C5" s="646"/>
      <c r="D5" s="646"/>
      <c r="E5" s="646"/>
      <c r="F5" s="646"/>
      <c r="G5" s="646"/>
      <c r="H5" s="647"/>
    </row>
    <row r="6" spans="1:8" ht="15">
      <c r="A6" s="39"/>
      <c r="B6" s="40"/>
      <c r="C6" s="40"/>
      <c r="D6" s="40"/>
      <c r="E6" s="40"/>
      <c r="F6" s="41"/>
      <c r="G6" s="41"/>
      <c r="H6" s="42"/>
    </row>
    <row r="7" spans="1:8" ht="15">
      <c r="A7" s="645" t="s">
        <v>230</v>
      </c>
      <c r="B7" s="646"/>
      <c r="C7" s="647"/>
      <c r="D7" s="40"/>
      <c r="E7" s="668" t="s">
        <v>185</v>
      </c>
      <c r="F7" s="669"/>
      <c r="G7" s="670"/>
      <c r="H7" s="671"/>
    </row>
    <row r="8" spans="1:8">
      <c r="A8" s="680" t="s">
        <v>11</v>
      </c>
      <c r="B8" s="684" t="s">
        <v>186</v>
      </c>
      <c r="C8" s="688" t="s">
        <v>231</v>
      </c>
      <c r="D8" s="43"/>
      <c r="E8" s="672"/>
      <c r="F8" s="673"/>
      <c r="G8" s="674"/>
      <c r="H8" s="675"/>
    </row>
    <row r="9" spans="1:8">
      <c r="A9" s="681"/>
      <c r="B9" s="685"/>
      <c r="C9" s="689"/>
      <c r="D9" s="43"/>
      <c r="E9" s="44" t="s">
        <v>188</v>
      </c>
      <c r="F9" s="648" t="s">
        <v>189</v>
      </c>
      <c r="G9" s="649"/>
      <c r="H9" s="45" t="s">
        <v>190</v>
      </c>
    </row>
    <row r="10" spans="1:8" ht="14.25">
      <c r="A10" s="650"/>
      <c r="B10" s="651"/>
      <c r="C10" s="651"/>
      <c r="D10" s="46"/>
      <c r="E10" s="46"/>
      <c r="F10" s="41"/>
      <c r="G10" s="41"/>
      <c r="H10" s="42"/>
    </row>
    <row r="11" spans="1:8" ht="14.25">
      <c r="A11" s="47" t="s">
        <v>191</v>
      </c>
      <c r="B11" s="652" t="s">
        <v>192</v>
      </c>
      <c r="C11" s="653"/>
      <c r="D11" s="48"/>
      <c r="E11" s="49"/>
      <c r="F11" s="654"/>
      <c r="G11" s="655"/>
      <c r="H11" s="50"/>
    </row>
    <row r="12" spans="1:8">
      <c r="A12" s="51" t="s">
        <v>193</v>
      </c>
      <c r="B12" s="52" t="s">
        <v>194</v>
      </c>
      <c r="C12" s="53">
        <v>0</v>
      </c>
      <c r="D12" s="54"/>
      <c r="E12" s="55">
        <v>3.0000000000000001E-3</v>
      </c>
      <c r="F12" s="660">
        <v>4.7999999999999996E-3</v>
      </c>
      <c r="G12" s="661"/>
      <c r="H12" s="56">
        <v>8.2000000000000007E-3</v>
      </c>
    </row>
    <row r="13" spans="1:8">
      <c r="A13" s="51" t="s">
        <v>195</v>
      </c>
      <c r="B13" s="52" t="s">
        <v>196</v>
      </c>
      <c r="C13" s="53">
        <v>0</v>
      </c>
      <c r="D13" s="54"/>
      <c r="E13" s="55">
        <v>5.5999999999999999E-3</v>
      </c>
      <c r="F13" s="660">
        <v>8.5000000000000006E-3</v>
      </c>
      <c r="G13" s="661"/>
      <c r="H13" s="56">
        <v>8.8999999999999999E-3</v>
      </c>
    </row>
    <row r="14" spans="1:8">
      <c r="A14" s="51" t="s">
        <v>197</v>
      </c>
      <c r="B14" s="52" t="s">
        <v>198</v>
      </c>
      <c r="C14" s="57">
        <v>8.5000000000000006E-3</v>
      </c>
      <c r="D14" s="54"/>
      <c r="E14" s="55">
        <v>8.5000000000000006E-3</v>
      </c>
      <c r="F14" s="660">
        <v>8.5000000000000006E-3</v>
      </c>
      <c r="G14" s="661"/>
      <c r="H14" s="56">
        <v>1.11E-2</v>
      </c>
    </row>
    <row r="15" spans="1:8">
      <c r="A15" s="51" t="s">
        <v>199</v>
      </c>
      <c r="B15" s="52" t="s">
        <v>200</v>
      </c>
      <c r="C15" s="57">
        <v>3.4500000000000003E-2</v>
      </c>
      <c r="D15" s="54"/>
      <c r="E15" s="55">
        <v>1.4999999999999999E-2</v>
      </c>
      <c r="F15" s="660">
        <v>3.4500000000000003E-2</v>
      </c>
      <c r="G15" s="661"/>
      <c r="H15" s="56">
        <v>4.4900000000000002E-2</v>
      </c>
    </row>
    <row r="16" spans="1:8">
      <c r="A16" s="656" t="s">
        <v>201</v>
      </c>
      <c r="B16" s="657"/>
      <c r="C16" s="58">
        <f>SUM(C12:C15)</f>
        <v>4.3000000000000003E-2</v>
      </c>
      <c r="D16" s="59"/>
      <c r="E16" s="60"/>
      <c r="F16" s="658"/>
      <c r="G16" s="659"/>
      <c r="H16" s="61"/>
    </row>
    <row r="17" spans="1:8">
      <c r="A17" s="676"/>
      <c r="B17" s="677"/>
      <c r="C17" s="677"/>
      <c r="D17" s="62"/>
      <c r="E17" s="54"/>
      <c r="F17" s="54"/>
      <c r="G17" s="54"/>
      <c r="H17" s="63"/>
    </row>
    <row r="18" spans="1:8">
      <c r="A18" s="47" t="s">
        <v>202</v>
      </c>
      <c r="B18" s="652" t="s">
        <v>203</v>
      </c>
      <c r="C18" s="653"/>
      <c r="D18" s="48"/>
      <c r="E18" s="64"/>
      <c r="F18" s="692"/>
      <c r="G18" s="693"/>
      <c r="H18" s="65"/>
    </row>
    <row r="19" spans="1:8">
      <c r="A19" s="51" t="s">
        <v>204</v>
      </c>
      <c r="B19" s="52" t="s">
        <v>205</v>
      </c>
      <c r="C19" s="57">
        <v>5.11E-2</v>
      </c>
      <c r="D19" s="54"/>
      <c r="E19" s="55">
        <v>3.5000000000000003E-2</v>
      </c>
      <c r="F19" s="660">
        <v>5.11E-2</v>
      </c>
      <c r="G19" s="661"/>
      <c r="H19" s="56">
        <v>6.2199999999999998E-2</v>
      </c>
    </row>
    <row r="20" spans="1:8">
      <c r="A20" s="656" t="s">
        <v>206</v>
      </c>
      <c r="B20" s="657"/>
      <c r="C20" s="58">
        <f>SUM(C19)</f>
        <v>5.11E-2</v>
      </c>
      <c r="D20" s="59"/>
      <c r="E20" s="60"/>
      <c r="F20" s="658"/>
      <c r="G20" s="659"/>
      <c r="H20" s="61"/>
    </row>
    <row r="21" spans="1:8">
      <c r="A21" s="676"/>
      <c r="B21" s="677"/>
      <c r="C21" s="677"/>
      <c r="D21" s="62"/>
      <c r="E21" s="66"/>
      <c r="F21" s="66"/>
      <c r="G21" s="66"/>
      <c r="H21" s="67"/>
    </row>
    <row r="22" spans="1:8" ht="12.75" customHeight="1">
      <c r="A22" s="47" t="s">
        <v>207</v>
      </c>
      <c r="B22" s="652" t="s">
        <v>208</v>
      </c>
      <c r="C22" s="653"/>
      <c r="D22" s="48"/>
      <c r="E22" s="66"/>
      <c r="F22" s="66"/>
      <c r="G22" s="66"/>
      <c r="H22" s="67"/>
    </row>
    <row r="23" spans="1:8" ht="12.75" customHeight="1">
      <c r="A23" s="51" t="s">
        <v>210</v>
      </c>
      <c r="B23" s="52" t="s">
        <v>211</v>
      </c>
      <c r="C23" s="57">
        <v>6.4999999999999997E-3</v>
      </c>
      <c r="D23" s="54"/>
      <c r="E23" s="66"/>
      <c r="F23" s="66"/>
      <c r="G23" s="66"/>
      <c r="H23" s="67"/>
    </row>
    <row r="24" spans="1:8" ht="25.5" customHeight="1">
      <c r="A24" s="51" t="s">
        <v>215</v>
      </c>
      <c r="B24" s="52" t="s">
        <v>216</v>
      </c>
      <c r="C24" s="57">
        <v>0.03</v>
      </c>
      <c r="D24" s="54"/>
      <c r="E24" s="66"/>
      <c r="F24" s="66"/>
      <c r="G24" s="66"/>
      <c r="H24" s="67"/>
    </row>
    <row r="25" spans="1:8">
      <c r="A25" s="682" t="s">
        <v>217</v>
      </c>
      <c r="B25" s="686" t="s">
        <v>218</v>
      </c>
      <c r="C25" s="690">
        <f>0</f>
        <v>0</v>
      </c>
      <c r="D25" s="54"/>
      <c r="E25" s="66"/>
      <c r="F25" s="66"/>
      <c r="G25" s="66"/>
      <c r="H25" s="67"/>
    </row>
    <row r="26" spans="1:8">
      <c r="A26" s="683"/>
      <c r="B26" s="687"/>
      <c r="C26" s="691"/>
      <c r="D26" s="54"/>
      <c r="E26" s="66"/>
      <c r="F26" s="66"/>
      <c r="G26" s="66"/>
      <c r="H26" s="67"/>
    </row>
    <row r="27" spans="1:8">
      <c r="A27" s="68" t="s">
        <v>219</v>
      </c>
      <c r="B27" s="69" t="s">
        <v>220</v>
      </c>
      <c r="C27" s="70">
        <v>0</v>
      </c>
      <c r="D27" s="54"/>
      <c r="E27" s="66"/>
      <c r="F27" s="66"/>
      <c r="G27" s="66"/>
      <c r="H27" s="67"/>
    </row>
    <row r="28" spans="1:8">
      <c r="A28" s="656" t="s">
        <v>221</v>
      </c>
      <c r="B28" s="657"/>
      <c r="C28" s="58">
        <f>SUM(C23:C27)</f>
        <v>3.6499999999999998E-2</v>
      </c>
      <c r="D28" s="59"/>
      <c r="E28" s="66"/>
      <c r="F28" s="66"/>
      <c r="G28" s="66"/>
      <c r="H28" s="67"/>
    </row>
    <row r="29" spans="1:8">
      <c r="A29" s="678"/>
      <c r="B29" s="679"/>
      <c r="C29" s="679"/>
      <c r="D29" s="72"/>
      <c r="E29" s="66"/>
      <c r="F29" s="66"/>
      <c r="G29" s="66"/>
      <c r="H29" s="67"/>
    </row>
    <row r="30" spans="1:8">
      <c r="A30" s="73"/>
      <c r="B30" s="48" t="s">
        <v>222</v>
      </c>
      <c r="C30" s="74"/>
      <c r="D30" s="74"/>
      <c r="E30" s="66"/>
      <c r="F30" s="66"/>
      <c r="G30" s="66"/>
      <c r="H30" s="67"/>
    </row>
    <row r="31" spans="1:8">
      <c r="A31" s="71"/>
      <c r="B31" s="72"/>
      <c r="C31" s="72"/>
      <c r="D31" s="72"/>
    </row>
    <row r="32" spans="1:8">
      <c r="A32" s="662" t="s">
        <v>223</v>
      </c>
      <c r="B32" s="663"/>
      <c r="C32" s="664"/>
      <c r="D32" s="75"/>
    </row>
    <row r="33" spans="1:8">
      <c r="A33" s="665"/>
      <c r="B33" s="666"/>
      <c r="C33" s="667"/>
      <c r="D33" s="75"/>
    </row>
    <row r="34" spans="1:8" ht="15" customHeight="1">
      <c r="A34" s="76"/>
      <c r="B34" s="77"/>
      <c r="C34" s="78"/>
      <c r="D34" s="78"/>
    </row>
    <row r="35" spans="1:8" ht="29.25" customHeight="1">
      <c r="A35" s="79" t="s">
        <v>224</v>
      </c>
      <c r="B35" s="80"/>
      <c r="C35" s="81">
        <f>(((1+C15+C12+C13)*(1+C14)*(1+C20))/(1-C28))-1</f>
        <v>0.13814793469122955</v>
      </c>
      <c r="D35" s="82"/>
      <c r="G35" s="36" t="s">
        <v>232</v>
      </c>
      <c r="H35" s="36" t="s">
        <v>233</v>
      </c>
    </row>
    <row r="36" spans="1:8" ht="14.25">
      <c r="A36" s="83"/>
      <c r="B36" s="83"/>
      <c r="C36" s="83"/>
      <c r="D36" s="83"/>
    </row>
  </sheetData>
  <mergeCells count="34">
    <mergeCell ref="A32:C33"/>
    <mergeCell ref="E7:H8"/>
    <mergeCell ref="A21:C21"/>
    <mergeCell ref="B22:C22"/>
    <mergeCell ref="A28:B28"/>
    <mergeCell ref="A29:C29"/>
    <mergeCell ref="A8:A9"/>
    <mergeCell ref="A25:A26"/>
    <mergeCell ref="B8:B9"/>
    <mergeCell ref="B25:B26"/>
    <mergeCell ref="C8:C9"/>
    <mergeCell ref="C25:C26"/>
    <mergeCell ref="A17:C17"/>
    <mergeCell ref="B18:C18"/>
    <mergeCell ref="F18:G18"/>
    <mergeCell ref="F19:G19"/>
    <mergeCell ref="A20:B20"/>
    <mergeCell ref="F20:G20"/>
    <mergeCell ref="F12:G12"/>
    <mergeCell ref="F13:G13"/>
    <mergeCell ref="F14:G14"/>
    <mergeCell ref="F15:G15"/>
    <mergeCell ref="A16:B16"/>
    <mergeCell ref="F16:G16"/>
    <mergeCell ref="A7:C7"/>
    <mergeCell ref="F9:G9"/>
    <mergeCell ref="A10:C10"/>
    <mergeCell ref="B11:C11"/>
    <mergeCell ref="F11:G11"/>
    <mergeCell ref="A1:H1"/>
    <mergeCell ref="A2:H2"/>
    <mergeCell ref="B3:H3"/>
    <mergeCell ref="B4:H4"/>
    <mergeCell ref="A5:H5"/>
  </mergeCells>
  <pageMargins left="0.511811024" right="0.511811024" top="0.78740157499999996" bottom="0.78740157499999996" header="0.31496062000000002" footer="0.31496062000000002"/>
  <pageSetup paperSize="9"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G53"/>
  <sheetViews>
    <sheetView view="pageBreakPreview" topLeftCell="A31" zoomScaleNormal="100" zoomScaleSheetLayoutView="100" workbookViewId="0">
      <selection activeCell="B13" sqref="B13"/>
    </sheetView>
  </sheetViews>
  <sheetFormatPr defaultColWidth="9" defaultRowHeight="12.75"/>
  <cols>
    <col min="1" max="1" width="9" style="1"/>
    <col min="2" max="2" width="36.140625" style="1" customWidth="1"/>
    <col min="3" max="3" width="39.85546875" style="1" customWidth="1"/>
    <col min="4" max="4" width="16.7109375" style="1" hidden="1" customWidth="1"/>
    <col min="5" max="5" width="16.85546875" style="1" hidden="1" customWidth="1"/>
    <col min="6" max="6" width="13.140625" style="1" customWidth="1"/>
    <col min="7" max="7" width="16.85546875" style="1" customWidth="1"/>
    <col min="8" max="16384" width="9" style="1"/>
  </cols>
  <sheetData>
    <row r="2" spans="2:7">
      <c r="B2" s="2"/>
      <c r="C2" s="3"/>
      <c r="D2" s="3"/>
      <c r="E2" s="3"/>
      <c r="F2" s="3"/>
      <c r="G2" s="4"/>
    </row>
    <row r="3" spans="2:7">
      <c r="B3" s="5"/>
      <c r="C3" s="6"/>
      <c r="D3" s="6"/>
      <c r="E3" s="6"/>
      <c r="F3" s="6"/>
      <c r="G3" s="7"/>
    </row>
    <row r="4" spans="2:7">
      <c r="B4" s="5"/>
      <c r="C4" s="6"/>
      <c r="D4" s="6"/>
      <c r="E4" s="6"/>
      <c r="F4" s="6"/>
      <c r="G4" s="7"/>
    </row>
    <row r="5" spans="2:7">
      <c r="B5" s="5"/>
      <c r="C5" s="6"/>
      <c r="D5" s="6"/>
      <c r="E5" s="6"/>
      <c r="F5" s="6"/>
      <c r="G5" s="7"/>
    </row>
    <row r="6" spans="2:7">
      <c r="B6" s="5"/>
      <c r="C6" s="6"/>
      <c r="D6" s="6"/>
      <c r="E6" s="6"/>
      <c r="F6" s="6"/>
      <c r="G6" s="7"/>
    </row>
    <row r="7" spans="2:7">
      <c r="B7" s="8" t="s">
        <v>234</v>
      </c>
      <c r="C7" s="9"/>
      <c r="D7" s="10"/>
      <c r="E7" s="10"/>
      <c r="F7" s="10"/>
      <c r="G7" s="11"/>
    </row>
    <row r="8" spans="2:7">
      <c r="B8" s="8" t="s">
        <v>235</v>
      </c>
      <c r="C8" s="9"/>
      <c r="D8" s="10"/>
      <c r="E8" s="10"/>
      <c r="F8" s="10"/>
      <c r="G8" s="11"/>
    </row>
    <row r="9" spans="2:7">
      <c r="B9" s="8" t="s">
        <v>236</v>
      </c>
      <c r="C9" s="9"/>
      <c r="D9" s="10"/>
      <c r="E9" s="10"/>
      <c r="F9" s="10"/>
      <c r="G9" s="11"/>
    </row>
    <row r="10" spans="2:7">
      <c r="B10" s="707"/>
      <c r="C10" s="708"/>
      <c r="D10" s="708"/>
      <c r="E10" s="708"/>
      <c r="F10" s="708"/>
      <c r="G10" s="709"/>
    </row>
    <row r="11" spans="2:7">
      <c r="B11" s="710"/>
      <c r="C11" s="711"/>
      <c r="D11" s="711"/>
      <c r="E11" s="711"/>
      <c r="F11" s="711"/>
      <c r="G11" s="712"/>
    </row>
    <row r="12" spans="2:7" ht="15.75">
      <c r="B12" s="699" t="s">
        <v>237</v>
      </c>
      <c r="C12" s="700"/>
      <c r="D12" s="700"/>
      <c r="E12" s="700"/>
      <c r="F12" s="700"/>
      <c r="G12" s="701"/>
    </row>
    <row r="13" spans="2:7" ht="15.75">
      <c r="B13" s="13" t="s">
        <v>238</v>
      </c>
      <c r="C13" s="12"/>
      <c r="D13" s="702" t="s">
        <v>239</v>
      </c>
      <c r="E13" s="703"/>
      <c r="F13" s="702" t="s">
        <v>144</v>
      </c>
      <c r="G13" s="701"/>
    </row>
    <row r="14" spans="2:7" ht="15">
      <c r="B14" s="694"/>
      <c r="C14" s="695"/>
      <c r="D14" s="695"/>
      <c r="E14" s="695"/>
      <c r="F14" s="695"/>
      <c r="G14" s="696"/>
    </row>
    <row r="15" spans="2:7">
      <c r="B15" s="713"/>
      <c r="C15" s="714"/>
      <c r="D15" s="705" t="s">
        <v>240</v>
      </c>
      <c r="E15" s="705" t="s">
        <v>241</v>
      </c>
      <c r="F15" s="705" t="s">
        <v>240</v>
      </c>
      <c r="G15" s="706" t="s">
        <v>241</v>
      </c>
    </row>
    <row r="16" spans="2:7">
      <c r="B16" s="713"/>
      <c r="C16" s="714"/>
      <c r="D16" s="705"/>
      <c r="E16" s="705"/>
      <c r="F16" s="705"/>
      <c r="G16" s="706"/>
    </row>
    <row r="17" spans="2:7" ht="15.75">
      <c r="B17" s="704" t="s">
        <v>242</v>
      </c>
      <c r="C17" s="700"/>
      <c r="D17" s="700"/>
      <c r="E17" s="700"/>
      <c r="F17" s="700"/>
      <c r="G17" s="701"/>
    </row>
    <row r="18" spans="2:7" ht="15">
      <c r="B18" s="15" t="s">
        <v>193</v>
      </c>
      <c r="C18" s="16" t="s">
        <v>243</v>
      </c>
      <c r="D18" s="17">
        <v>0</v>
      </c>
      <c r="E18" s="17">
        <v>0</v>
      </c>
      <c r="F18" s="17">
        <v>20</v>
      </c>
      <c r="G18" s="18">
        <v>20</v>
      </c>
    </row>
    <row r="19" spans="2:7" ht="15">
      <c r="B19" s="19" t="s">
        <v>195</v>
      </c>
      <c r="C19" s="20" t="s">
        <v>244</v>
      </c>
      <c r="D19" s="21">
        <v>1.5</v>
      </c>
      <c r="E19" s="21">
        <v>1.5</v>
      </c>
      <c r="F19" s="21">
        <v>1.5</v>
      </c>
      <c r="G19" s="22">
        <v>1.5</v>
      </c>
    </row>
    <row r="20" spans="2:7" ht="15">
      <c r="B20" s="19" t="s">
        <v>197</v>
      </c>
      <c r="C20" s="20" t="s">
        <v>245</v>
      </c>
      <c r="D20" s="21">
        <v>1</v>
      </c>
      <c r="E20" s="21">
        <v>1</v>
      </c>
      <c r="F20" s="21">
        <v>1</v>
      </c>
      <c r="G20" s="22">
        <v>1</v>
      </c>
    </row>
    <row r="21" spans="2:7" ht="15">
      <c r="B21" s="19" t="s">
        <v>199</v>
      </c>
      <c r="C21" s="20" t="s">
        <v>246</v>
      </c>
      <c r="D21" s="21">
        <v>0.2</v>
      </c>
      <c r="E21" s="21">
        <v>0.2</v>
      </c>
      <c r="F21" s="21">
        <v>0.2</v>
      </c>
      <c r="G21" s="22">
        <v>0.2</v>
      </c>
    </row>
    <row r="22" spans="2:7" ht="15">
      <c r="B22" s="19" t="s">
        <v>247</v>
      </c>
      <c r="C22" s="20" t="s">
        <v>248</v>
      </c>
      <c r="D22" s="21">
        <v>0.6</v>
      </c>
      <c r="E22" s="21">
        <v>0.6</v>
      </c>
      <c r="F22" s="21">
        <v>0.6</v>
      </c>
      <c r="G22" s="22">
        <v>0.6</v>
      </c>
    </row>
    <row r="23" spans="2:7" ht="15">
      <c r="B23" s="19" t="s">
        <v>249</v>
      </c>
      <c r="C23" s="20" t="s">
        <v>250</v>
      </c>
      <c r="D23" s="21">
        <v>2.5</v>
      </c>
      <c r="E23" s="21">
        <v>2.5</v>
      </c>
      <c r="F23" s="21">
        <v>2.5</v>
      </c>
      <c r="G23" s="22">
        <v>2.5</v>
      </c>
    </row>
    <row r="24" spans="2:7" ht="15">
      <c r="B24" s="19" t="s">
        <v>251</v>
      </c>
      <c r="C24" s="20" t="s">
        <v>252</v>
      </c>
      <c r="D24" s="21">
        <v>3</v>
      </c>
      <c r="E24" s="21">
        <v>3</v>
      </c>
      <c r="F24" s="21">
        <v>3</v>
      </c>
      <c r="G24" s="22">
        <v>3</v>
      </c>
    </row>
    <row r="25" spans="2:7" ht="15">
      <c r="B25" s="19" t="s">
        <v>253</v>
      </c>
      <c r="C25" s="20" t="s">
        <v>254</v>
      </c>
      <c r="D25" s="21">
        <v>8</v>
      </c>
      <c r="E25" s="21">
        <v>8</v>
      </c>
      <c r="F25" s="21">
        <v>8</v>
      </c>
      <c r="G25" s="22">
        <v>8</v>
      </c>
    </row>
    <row r="26" spans="2:7" ht="15">
      <c r="B26" s="23" t="s">
        <v>255</v>
      </c>
      <c r="C26" s="24" t="s">
        <v>256</v>
      </c>
      <c r="D26" s="25">
        <v>0</v>
      </c>
      <c r="E26" s="25">
        <v>0</v>
      </c>
      <c r="F26" s="25">
        <v>0</v>
      </c>
      <c r="G26" s="26">
        <v>0</v>
      </c>
    </row>
    <row r="27" spans="2:7" ht="15.75">
      <c r="B27" s="14" t="s">
        <v>257</v>
      </c>
      <c r="C27" s="27" t="s">
        <v>135</v>
      </c>
      <c r="D27" s="28">
        <f>SUM(D18:D26)</f>
        <v>16.8</v>
      </c>
      <c r="E27" s="28">
        <f>SUM(E18:E26)</f>
        <v>16.8</v>
      </c>
      <c r="F27" s="28">
        <f>SUM(F18:F26)</f>
        <v>36.799999999999997</v>
      </c>
      <c r="G27" s="29">
        <f>SUM(G18:G26)</f>
        <v>36.799999999999997</v>
      </c>
    </row>
    <row r="28" spans="2:7" ht="15.75">
      <c r="B28" s="704" t="s">
        <v>258</v>
      </c>
      <c r="C28" s="700"/>
      <c r="D28" s="700"/>
      <c r="E28" s="700"/>
      <c r="F28" s="700"/>
      <c r="G28" s="701"/>
    </row>
    <row r="29" spans="2:7" ht="15">
      <c r="B29" s="15" t="s">
        <v>259</v>
      </c>
      <c r="C29" s="16" t="s">
        <v>260</v>
      </c>
      <c r="D29" s="17">
        <v>17.97</v>
      </c>
      <c r="E29" s="17" t="s">
        <v>261</v>
      </c>
      <c r="F29" s="17">
        <v>17.97</v>
      </c>
      <c r="G29" s="18" t="s">
        <v>261</v>
      </c>
    </row>
    <row r="30" spans="2:7" ht="15">
      <c r="B30" s="19" t="s">
        <v>262</v>
      </c>
      <c r="C30" s="20" t="s">
        <v>263</v>
      </c>
      <c r="D30" s="21">
        <v>3.96</v>
      </c>
      <c r="E30" s="21" t="s">
        <v>261</v>
      </c>
      <c r="F30" s="21">
        <v>3.96</v>
      </c>
      <c r="G30" s="22" t="s">
        <v>261</v>
      </c>
    </row>
    <row r="31" spans="2:7" ht="15">
      <c r="B31" s="19" t="s">
        <v>264</v>
      </c>
      <c r="C31" s="20" t="s">
        <v>265</v>
      </c>
      <c r="D31" s="21">
        <v>0.86</v>
      </c>
      <c r="E31" s="21">
        <v>0.66</v>
      </c>
      <c r="F31" s="21">
        <v>0.86</v>
      </c>
      <c r="G31" s="22">
        <v>0.66</v>
      </c>
    </row>
    <row r="32" spans="2:7" ht="15">
      <c r="B32" s="19" t="s">
        <v>266</v>
      </c>
      <c r="C32" s="20" t="s">
        <v>267</v>
      </c>
      <c r="D32" s="21">
        <v>10.97</v>
      </c>
      <c r="E32" s="21">
        <v>8.33</v>
      </c>
      <c r="F32" s="21">
        <v>10.97</v>
      </c>
      <c r="G32" s="22">
        <v>8.33</v>
      </c>
    </row>
    <row r="33" spans="2:7" ht="15">
      <c r="B33" s="19" t="s">
        <v>268</v>
      </c>
      <c r="C33" s="20" t="s">
        <v>269</v>
      </c>
      <c r="D33" s="21">
        <v>7.0000000000000007E-2</v>
      </c>
      <c r="E33" s="21">
        <v>0.06</v>
      </c>
      <c r="F33" s="21">
        <v>7.0000000000000007E-2</v>
      </c>
      <c r="G33" s="22">
        <v>0.06</v>
      </c>
    </row>
    <row r="34" spans="2:7" ht="15">
      <c r="B34" s="19" t="s">
        <v>270</v>
      </c>
      <c r="C34" s="20" t="s">
        <v>271</v>
      </c>
      <c r="D34" s="21">
        <v>0.73</v>
      </c>
      <c r="E34" s="21">
        <v>0.56000000000000005</v>
      </c>
      <c r="F34" s="21">
        <v>0.73</v>
      </c>
      <c r="G34" s="22">
        <v>0.56000000000000005</v>
      </c>
    </row>
    <row r="35" spans="2:7" ht="15">
      <c r="B35" s="19" t="s">
        <v>272</v>
      </c>
      <c r="C35" s="20" t="s">
        <v>273</v>
      </c>
      <c r="D35" s="21">
        <v>2.04</v>
      </c>
      <c r="E35" s="21" t="s">
        <v>261</v>
      </c>
      <c r="F35" s="21">
        <v>2.04</v>
      </c>
      <c r="G35" s="22" t="s">
        <v>261</v>
      </c>
    </row>
    <row r="36" spans="2:7" ht="15">
      <c r="B36" s="19" t="s">
        <v>274</v>
      </c>
      <c r="C36" s="20" t="s">
        <v>275</v>
      </c>
      <c r="D36" s="21">
        <v>0.1</v>
      </c>
      <c r="E36" s="21">
        <v>0.08</v>
      </c>
      <c r="F36" s="21">
        <v>0.1</v>
      </c>
      <c r="G36" s="22">
        <v>0.08</v>
      </c>
    </row>
    <row r="37" spans="2:7" ht="15">
      <c r="B37" s="19" t="s">
        <v>276</v>
      </c>
      <c r="C37" s="20" t="s">
        <v>277</v>
      </c>
      <c r="D37" s="21">
        <v>10.34</v>
      </c>
      <c r="E37" s="21">
        <v>7.85</v>
      </c>
      <c r="F37" s="21">
        <v>10.34</v>
      </c>
      <c r="G37" s="22">
        <v>7.85</v>
      </c>
    </row>
    <row r="38" spans="2:7" ht="15">
      <c r="B38" s="23" t="s">
        <v>278</v>
      </c>
      <c r="C38" s="24" t="s">
        <v>279</v>
      </c>
      <c r="D38" s="25">
        <v>0.03</v>
      </c>
      <c r="E38" s="25">
        <v>0.02</v>
      </c>
      <c r="F38" s="25">
        <v>0.03</v>
      </c>
      <c r="G38" s="26">
        <v>0.02</v>
      </c>
    </row>
    <row r="39" spans="2:7" ht="15.75">
      <c r="B39" s="14" t="s">
        <v>280</v>
      </c>
      <c r="C39" s="27" t="s">
        <v>281</v>
      </c>
      <c r="D39" s="28">
        <f>SUM(D29:D38)</f>
        <v>47.069999999999993</v>
      </c>
      <c r="E39" s="28">
        <f>SUM(E29:E38)</f>
        <v>17.559999999999999</v>
      </c>
      <c r="F39" s="28">
        <f>SUM(F29:F38)</f>
        <v>47.069999999999993</v>
      </c>
      <c r="G39" s="29">
        <f>SUM(G29:G38)</f>
        <v>17.559999999999999</v>
      </c>
    </row>
    <row r="40" spans="2:7" ht="15.75">
      <c r="B40" s="704" t="s">
        <v>282</v>
      </c>
      <c r="C40" s="700"/>
      <c r="D40" s="700"/>
      <c r="E40" s="700"/>
      <c r="F40" s="700"/>
      <c r="G40" s="701"/>
    </row>
    <row r="41" spans="2:7" ht="15">
      <c r="B41" s="15" t="s">
        <v>283</v>
      </c>
      <c r="C41" s="16" t="s">
        <v>284</v>
      </c>
      <c r="D41" s="17">
        <v>5.44</v>
      </c>
      <c r="E41" s="17">
        <v>4.13</v>
      </c>
      <c r="F41" s="17">
        <v>5.44</v>
      </c>
      <c r="G41" s="18">
        <v>4.13</v>
      </c>
    </row>
    <row r="42" spans="2:7" ht="15">
      <c r="B42" s="19" t="s">
        <v>285</v>
      </c>
      <c r="C42" s="20" t="s">
        <v>286</v>
      </c>
      <c r="D42" s="21">
        <v>0.13</v>
      </c>
      <c r="E42" s="21">
        <v>0.1</v>
      </c>
      <c r="F42" s="21">
        <v>0.13</v>
      </c>
      <c r="G42" s="22">
        <v>0.1</v>
      </c>
    </row>
    <row r="43" spans="2:7" ht="15">
      <c r="B43" s="19" t="s">
        <v>287</v>
      </c>
      <c r="C43" s="20" t="s">
        <v>288</v>
      </c>
      <c r="D43" s="21">
        <v>3.41</v>
      </c>
      <c r="E43" s="21">
        <v>2.59</v>
      </c>
      <c r="F43" s="21">
        <v>3.41</v>
      </c>
      <c r="G43" s="22">
        <v>2.59</v>
      </c>
    </row>
    <row r="44" spans="2:7" ht="15">
      <c r="B44" s="19" t="s">
        <v>289</v>
      </c>
      <c r="C44" s="20" t="s">
        <v>290</v>
      </c>
      <c r="D44" s="21">
        <v>3.36</v>
      </c>
      <c r="E44" s="21">
        <v>2.5499999999999998</v>
      </c>
      <c r="F44" s="21">
        <v>3.36</v>
      </c>
      <c r="G44" s="22">
        <v>2.5499999999999998</v>
      </c>
    </row>
    <row r="45" spans="2:7" ht="15">
      <c r="B45" s="23" t="s">
        <v>291</v>
      </c>
      <c r="C45" s="24" t="s">
        <v>292</v>
      </c>
      <c r="D45" s="25">
        <v>0.46</v>
      </c>
      <c r="E45" s="25">
        <v>0.35</v>
      </c>
      <c r="F45" s="25">
        <v>0.46</v>
      </c>
      <c r="G45" s="26">
        <v>0.35</v>
      </c>
    </row>
    <row r="46" spans="2:7" ht="15.75">
      <c r="B46" s="14" t="s">
        <v>293</v>
      </c>
      <c r="C46" s="27" t="s">
        <v>281</v>
      </c>
      <c r="D46" s="28">
        <f>SUM(D41:D45)</f>
        <v>12.8</v>
      </c>
      <c r="E46" s="28">
        <f>SUM(E41:E45)</f>
        <v>9.7199999999999989</v>
      </c>
      <c r="F46" s="28">
        <f>SUM(F41:F45)</f>
        <v>12.8</v>
      </c>
      <c r="G46" s="29">
        <f>SUM(G41:G45)</f>
        <v>9.7199999999999989</v>
      </c>
    </row>
    <row r="47" spans="2:7" ht="15.75">
      <c r="B47" s="704" t="s">
        <v>294</v>
      </c>
      <c r="C47" s="700"/>
      <c r="D47" s="700"/>
      <c r="E47" s="700"/>
      <c r="F47" s="700"/>
      <c r="G47" s="701"/>
    </row>
    <row r="48" spans="2:7" ht="15">
      <c r="B48" s="15" t="s">
        <v>295</v>
      </c>
      <c r="C48" s="16" t="s">
        <v>296</v>
      </c>
      <c r="D48" s="17">
        <v>7.91</v>
      </c>
      <c r="E48" s="17">
        <v>2.95</v>
      </c>
      <c r="F48" s="17">
        <v>17.32</v>
      </c>
      <c r="G48" s="18">
        <v>6.46</v>
      </c>
    </row>
    <row r="49" spans="2:7" ht="76.5" customHeight="1">
      <c r="B49" s="30" t="s">
        <v>297</v>
      </c>
      <c r="C49" s="31" t="s">
        <v>298</v>
      </c>
      <c r="D49" s="25">
        <v>0.46</v>
      </c>
      <c r="E49" s="25">
        <v>0.35</v>
      </c>
      <c r="F49" s="25">
        <v>0.48</v>
      </c>
      <c r="G49" s="26">
        <v>0.37</v>
      </c>
    </row>
    <row r="50" spans="2:7" ht="15.75">
      <c r="B50" s="14" t="s">
        <v>299</v>
      </c>
      <c r="C50" s="27" t="s">
        <v>135</v>
      </c>
      <c r="D50" s="28">
        <f>SUM(D48:D49)</f>
        <v>8.370000000000001</v>
      </c>
      <c r="E50" s="28">
        <f>SUM(E48:E49)</f>
        <v>3.3000000000000003</v>
      </c>
      <c r="F50" s="28">
        <f>SUM(F48:F49)</f>
        <v>17.8</v>
      </c>
      <c r="G50" s="29">
        <f>SUM(G48:G49)</f>
        <v>6.83</v>
      </c>
    </row>
    <row r="51" spans="2:7" ht="15">
      <c r="B51" s="694"/>
      <c r="C51" s="695"/>
      <c r="D51" s="695"/>
      <c r="E51" s="695"/>
      <c r="F51" s="695"/>
      <c r="G51" s="696"/>
    </row>
    <row r="52" spans="2:7" ht="15.75">
      <c r="B52" s="697" t="s">
        <v>300</v>
      </c>
      <c r="C52" s="698"/>
      <c r="D52" s="32">
        <f>D27+D39+D46+D50</f>
        <v>85.039999999999992</v>
      </c>
      <c r="E52" s="32">
        <f>E27+E39+E46+E50</f>
        <v>47.379999999999995</v>
      </c>
      <c r="F52" s="33">
        <f>(F27+F39+F46+F50)/100</f>
        <v>1.1446999999999998</v>
      </c>
      <c r="G52" s="34">
        <f>(G27+G39+G46+G50)/100</f>
        <v>0.70909999999999995</v>
      </c>
    </row>
    <row r="53" spans="2:7" ht="15">
      <c r="B53" s="35"/>
      <c r="C53" s="35"/>
      <c r="D53" s="35"/>
      <c r="E53" s="35"/>
      <c r="F53" s="35"/>
      <c r="G53" s="35"/>
    </row>
  </sheetData>
  <mergeCells count="16">
    <mergeCell ref="B10:G11"/>
    <mergeCell ref="B15:C16"/>
    <mergeCell ref="B28:G28"/>
    <mergeCell ref="B40:G40"/>
    <mergeCell ref="B47:G47"/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</mergeCells>
  <pageMargins left="0.75" right="0.75" top="1" bottom="1" header="0.5" footer="0.5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Planilha - BARRAGEM</vt:lpstr>
      <vt:lpstr>Cronograma - BARRAGEM</vt:lpstr>
      <vt:lpstr>M. C. 01 </vt:lpstr>
      <vt:lpstr>Memória de cálculo</vt:lpstr>
      <vt:lpstr>Mobilização - BARRAGEM</vt:lpstr>
      <vt:lpstr>CPU 01 - SERVIÇOS PRELIMINARES</vt:lpstr>
      <vt:lpstr>BDI - SERVIÇOS</vt:lpstr>
      <vt:lpstr>BDI - FORNECIMENTO</vt:lpstr>
      <vt:lpstr>ENC SOCIAIS</vt:lpstr>
      <vt:lpstr>'BDI - SERVIÇOS'!Area_de_impressao</vt:lpstr>
      <vt:lpstr>'CPU 01 - SERVIÇOS PRELIMINARES'!Area_de_impressao</vt:lpstr>
      <vt:lpstr>'Cronograma - BARRAGEM'!Area_de_impressao</vt:lpstr>
      <vt:lpstr>'ENC SOCIAIS'!Area_de_impressao</vt:lpstr>
      <vt:lpstr>'Memória de cálculo'!Area_de_impressao</vt:lpstr>
      <vt:lpstr>'Planilha - BARRAGEM'!Area_de_impressao</vt:lpstr>
      <vt:lpstr>'Planilha - BARRAGEM'!Titulos_de_impressao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2021-11-30T12:37:21Z</cp:lastPrinted>
  <dcterms:created xsi:type="dcterms:W3CDTF">1998-01-22T12:19:00Z</dcterms:created>
  <dcterms:modified xsi:type="dcterms:W3CDTF">2021-11-30T12:38:11Z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