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325" windowHeight="9225"/>
  </bookViews>
  <sheets>
    <sheet name="Orçamento Sintético" sheetId="1" r:id="rId1"/>
    <sheet name="CPU 01 - SERVIÇOS PRELIMINARES" sheetId="6" r:id="rId2"/>
    <sheet name="CPU 02" sheetId="7" r:id="rId3"/>
    <sheet name="Mobilização" sheetId="5" r:id="rId4"/>
    <sheet name="Memória de Cálculo" sheetId="2" r:id="rId5"/>
    <sheet name="BDI" sheetId="3" r:id="rId6"/>
    <sheet name="ENC SOCIAIS" sheetId="8" r:id="rId7"/>
    <sheet name="Cronograma" sheetId="4" r:id="rId8"/>
  </sheets>
  <externalReferences>
    <externalReference r:id="rId9"/>
  </externalReferences>
  <definedNames>
    <definedName name="AccessDatabase" hidden="1">"D:\Arquivos do excel\Planilha modelo1.mdb"</definedName>
    <definedName name="af" localSheetId="1">#REF!</definedName>
    <definedName name="af" localSheetId="7">#REF!</definedName>
    <definedName name="af" localSheetId="3">#REF!</definedName>
    <definedName name="af">#REF!</definedName>
    <definedName name="ag" localSheetId="1">#REF!</definedName>
    <definedName name="ag" localSheetId="7">#REF!</definedName>
    <definedName name="ag" localSheetId="3">#REF!</definedName>
    <definedName name="ag">#REF!</definedName>
    <definedName name="_xlnm.Print_Area" localSheetId="5">BDI!$B$1:$I$37</definedName>
    <definedName name="_xlnm.Print_Area" localSheetId="1">'CPU 01 - SERVIÇOS PRELIMINARES'!$A$1:$H$54</definedName>
    <definedName name="_xlnm.Print_Area" localSheetId="2">'CPU 02'!$A$1:$H$88</definedName>
    <definedName name="_xlnm.Print_Area" localSheetId="7">Cronograma!$A$1:$G$30</definedName>
    <definedName name="_xlnm.Print_Area" localSheetId="6">'ENC SOCIAIS'!$B$2:$G$52</definedName>
    <definedName name="_xlnm.Print_Area" localSheetId="4">'Memória de Cálculo'!$A$1:$E$61</definedName>
    <definedName name="_xlnm.Print_Area" localSheetId="0">'Orçamento Sintético'!$A$1:$I$64</definedName>
    <definedName name="BALTO" localSheetId="1">#REF!</definedName>
    <definedName name="BALTO" localSheetId="7">#REF!</definedName>
    <definedName name="BALTO" localSheetId="3">#REF!</definedName>
    <definedName name="BALTO">#REF!</definedName>
    <definedName name="cho" localSheetId="1">#REF!</definedName>
    <definedName name="cho" localSheetId="7">#REF!</definedName>
    <definedName name="cho" localSheetId="3">#REF!</definedName>
    <definedName name="cho">#REF!</definedName>
    <definedName name="ci" localSheetId="1">#REF!</definedName>
    <definedName name="ci" localSheetId="7">#REF!</definedName>
    <definedName name="ci" localSheetId="3">#REF!</definedName>
    <definedName name="ci">#REF!</definedName>
    <definedName name="COD_ATRIUM" localSheetId="1">#REF!</definedName>
    <definedName name="COD_ATRIUM" localSheetId="7">#REF!</definedName>
    <definedName name="COD_ATRIUM" localSheetId="3">#REF!</definedName>
    <definedName name="COD_ATRIUM">#REF!</definedName>
    <definedName name="COD_SINAPI" localSheetId="1">#REF!</definedName>
    <definedName name="COD_SINAPI" localSheetId="7">#REF!</definedName>
    <definedName name="COD_SINAPI" localSheetId="3">#REF!</definedName>
    <definedName name="COD_SINAPI">#REF!</definedName>
    <definedName name="jazida5" localSheetId="1">#REF!</definedName>
    <definedName name="jazida5" localSheetId="7">#REF!</definedName>
    <definedName name="jazida5" localSheetId="3">#REF!</definedName>
    <definedName name="jazida5">#REF!</definedName>
    <definedName name="jazida6" localSheetId="1">#REF!</definedName>
    <definedName name="jazida6" localSheetId="7">#REF!</definedName>
    <definedName name="jazida6" localSheetId="3">#REF!</definedName>
    <definedName name="jazida6">#REF!</definedName>
    <definedName name="ls" localSheetId="1">#REF!</definedName>
    <definedName name="ls" localSheetId="7">#REF!</definedName>
    <definedName name="ls" localSheetId="3">#REF!</definedName>
    <definedName name="ls">#REF!</definedName>
    <definedName name="lub" localSheetId="1">#REF!</definedName>
    <definedName name="lub" localSheetId="7">#REF!</definedName>
    <definedName name="lub" localSheetId="3">#REF!</definedName>
    <definedName name="lub">#REF!</definedName>
    <definedName name="meio" localSheetId="1">#REF!</definedName>
    <definedName name="meio" localSheetId="7">#REF!</definedName>
    <definedName name="meio" localSheetId="3">#REF!</definedName>
    <definedName name="meio">#REF!</definedName>
    <definedName name="od" localSheetId="1">#REF!</definedName>
    <definedName name="od" localSheetId="7">#REF!</definedName>
    <definedName name="od" localSheetId="3">#REF!</definedName>
    <definedName name="od">#REF!</definedName>
    <definedName name="of" localSheetId="1">#REF!</definedName>
    <definedName name="of" localSheetId="7">#REF!</definedName>
    <definedName name="of" localSheetId="3">#REF!</definedName>
    <definedName name="of">#REF!</definedName>
    <definedName name="pdm" localSheetId="1">#REF!</definedName>
    <definedName name="pdm" localSheetId="7">#REF!</definedName>
    <definedName name="pdm" localSheetId="3">#REF!</definedName>
    <definedName name="pdm">#REF!</definedName>
    <definedName name="pedra" localSheetId="1">#REF!</definedName>
    <definedName name="pedra" localSheetId="7">#REF!</definedName>
    <definedName name="pedra" localSheetId="3">#REF!</definedName>
    <definedName name="pedra">#REF!</definedName>
    <definedName name="port" localSheetId="1">#REF!</definedName>
    <definedName name="port" localSheetId="7">#REF!</definedName>
    <definedName name="port" localSheetId="3">#REF!</definedName>
    <definedName name="port">#REF!</definedName>
    <definedName name="PREF" localSheetId="1">#REF!</definedName>
    <definedName name="PREF" localSheetId="7">#REF!</definedName>
    <definedName name="PREF" localSheetId="3">#REF!</definedName>
    <definedName name="PREF">#REF!</definedName>
    <definedName name="ruas" localSheetId="1">#REF!</definedName>
    <definedName name="ruas" localSheetId="7">#REF!</definedName>
    <definedName name="ruas" localSheetId="3">#REF!</definedName>
    <definedName name="ruas">#REF!</definedName>
    <definedName name="s" localSheetId="1">#REF!</definedName>
    <definedName name="s" localSheetId="7">#REF!</definedName>
    <definedName name="s" localSheetId="3">#REF!</definedName>
    <definedName name="s">#REF!</definedName>
    <definedName name="se" localSheetId="1">#REF!</definedName>
    <definedName name="se" localSheetId="7">#REF!</definedName>
    <definedName name="se" localSheetId="3">#REF!</definedName>
    <definedName name="se">#REF!</definedName>
    <definedName name="sx" localSheetId="1">#REF!</definedName>
    <definedName name="sx" localSheetId="7">#REF!</definedName>
    <definedName name="sx" localSheetId="3">#REF!</definedName>
    <definedName name="sx">#REF!</definedName>
    <definedName name="tb100cm" localSheetId="1">#REF!</definedName>
    <definedName name="tb100cm" localSheetId="7">#REF!</definedName>
    <definedName name="tb100cm" localSheetId="3">#REF!</definedName>
    <definedName name="tb100cm">#REF!</definedName>
    <definedName name="total" localSheetId="1">#REF!</definedName>
    <definedName name="total" localSheetId="7">#REF!</definedName>
    <definedName name="total" localSheetId="3">#REF!</definedName>
    <definedName name="total">#REF!</definedName>
  </definedNames>
  <calcPr calcId="124519"/>
</workbook>
</file>

<file path=xl/calcChain.xml><?xml version="1.0" encoding="utf-8"?>
<calcChain xmlns="http://schemas.openxmlformats.org/spreadsheetml/2006/main">
  <c r="A30" i="4"/>
  <c r="B21"/>
  <c r="A21"/>
  <c r="N20"/>
  <c r="B19"/>
  <c r="A19"/>
  <c r="B17"/>
  <c r="A17"/>
  <c r="B15"/>
  <c r="A15"/>
  <c r="B13"/>
  <c r="A13"/>
  <c r="B11"/>
  <c r="A11"/>
  <c r="A5"/>
  <c r="G52" i="8"/>
  <c r="F52"/>
  <c r="E52"/>
  <c r="D52"/>
  <c r="G50"/>
  <c r="F50"/>
  <c r="E50"/>
  <c r="D50"/>
  <c r="G46"/>
  <c r="F46"/>
  <c r="E46"/>
  <c r="D46"/>
  <c r="G39"/>
  <c r="F39"/>
  <c r="E39"/>
  <c r="D39"/>
  <c r="G27"/>
  <c r="F27"/>
  <c r="E27"/>
  <c r="D27"/>
  <c r="D36" i="3"/>
  <c r="D29"/>
  <c r="I27"/>
  <c r="D26"/>
  <c r="D21"/>
  <c r="D17"/>
  <c r="C4"/>
  <c r="A61" i="2"/>
  <c r="D57"/>
  <c r="C57"/>
  <c r="B57"/>
  <c r="A57"/>
  <c r="B56"/>
  <c r="A56"/>
  <c r="C55"/>
  <c r="B55"/>
  <c r="A55"/>
  <c r="D54"/>
  <c r="C54"/>
  <c r="B54"/>
  <c r="A54"/>
  <c r="D53"/>
  <c r="C53"/>
  <c r="B53"/>
  <c r="A53"/>
  <c r="D52"/>
  <c r="C52"/>
  <c r="B52"/>
  <c r="A52"/>
  <c r="D51"/>
  <c r="C51"/>
  <c r="B51"/>
  <c r="A51"/>
  <c r="D50"/>
  <c r="C50"/>
  <c r="B50"/>
  <c r="A50"/>
  <c r="D49"/>
  <c r="C49"/>
  <c r="B49"/>
  <c r="A49"/>
  <c r="C48"/>
  <c r="B48"/>
  <c r="A48"/>
  <c r="D47"/>
  <c r="C47"/>
  <c r="B47"/>
  <c r="A47"/>
  <c r="C46"/>
  <c r="B46"/>
  <c r="A46"/>
  <c r="D45"/>
  <c r="C45"/>
  <c r="B45"/>
  <c r="A45"/>
  <c r="C44"/>
  <c r="B44"/>
  <c r="A44"/>
  <c r="B43"/>
  <c r="A43"/>
  <c r="D42"/>
  <c r="C42"/>
  <c r="B42"/>
  <c r="A42"/>
  <c r="D41"/>
  <c r="C41"/>
  <c r="B41"/>
  <c r="A41"/>
  <c r="D40"/>
  <c r="C40"/>
  <c r="B40"/>
  <c r="A40"/>
  <c r="D39"/>
  <c r="C39"/>
  <c r="B39"/>
  <c r="A39"/>
  <c r="B38"/>
  <c r="A38"/>
  <c r="D37"/>
  <c r="C37"/>
  <c r="B37"/>
  <c r="A37"/>
  <c r="C36"/>
  <c r="B36"/>
  <c r="A36"/>
  <c r="C35"/>
  <c r="B35"/>
  <c r="A35"/>
  <c r="C34"/>
  <c r="B34"/>
  <c r="A34"/>
  <c r="D33"/>
  <c r="C33"/>
  <c r="B33"/>
  <c r="A33"/>
  <c r="D32"/>
  <c r="C32"/>
  <c r="B32"/>
  <c r="A32"/>
  <c r="B30"/>
  <c r="A30"/>
  <c r="D29"/>
  <c r="C29"/>
  <c r="B29"/>
  <c r="A29"/>
  <c r="D28"/>
  <c r="C28"/>
  <c r="B28"/>
  <c r="A28"/>
  <c r="D27"/>
  <c r="C27"/>
  <c r="B27"/>
  <c r="A27"/>
  <c r="D26"/>
  <c r="C26"/>
  <c r="B26"/>
  <c r="A26"/>
  <c r="D25"/>
  <c r="C25"/>
  <c r="B25"/>
  <c r="A25"/>
  <c r="D24"/>
  <c r="C24"/>
  <c r="B24"/>
  <c r="A24"/>
  <c r="D23"/>
  <c r="C23"/>
  <c r="B23"/>
  <c r="A23"/>
  <c r="B22"/>
  <c r="A22"/>
  <c r="D21"/>
  <c r="C21"/>
  <c r="B21"/>
  <c r="A21"/>
  <c r="D20"/>
  <c r="C20"/>
  <c r="B20"/>
  <c r="A20"/>
  <c r="B19"/>
  <c r="A19"/>
  <c r="B18"/>
  <c r="A18"/>
  <c r="C17"/>
  <c r="B17"/>
  <c r="A17"/>
  <c r="B16"/>
  <c r="A16"/>
  <c r="D15"/>
  <c r="C15"/>
  <c r="B15"/>
  <c r="A15"/>
  <c r="C14"/>
  <c r="B14"/>
  <c r="A14"/>
  <c r="C13"/>
  <c r="B13"/>
  <c r="A13"/>
  <c r="C12"/>
  <c r="B12"/>
  <c r="A12"/>
  <c r="C11"/>
  <c r="B11"/>
  <c r="A11"/>
  <c r="C10"/>
  <c r="B10"/>
  <c r="A10"/>
  <c r="B9"/>
  <c r="A9"/>
  <c r="A5"/>
  <c r="F26" i="5"/>
  <c r="A26"/>
  <c r="H23"/>
  <c r="C16"/>
  <c r="A5"/>
  <c r="A88" i="7"/>
  <c r="E83"/>
  <c r="H80"/>
  <c r="H79"/>
  <c r="H78"/>
  <c r="H77"/>
  <c r="H76"/>
  <c r="H75"/>
  <c r="H74"/>
  <c r="H73"/>
  <c r="H72"/>
  <c r="H71"/>
  <c r="H70"/>
  <c r="G64"/>
  <c r="H64" s="1"/>
  <c r="H65" s="1"/>
  <c r="H63"/>
  <c r="H62"/>
  <c r="H61"/>
  <c r="H60"/>
  <c r="H59"/>
  <c r="G53"/>
  <c r="H53" s="1"/>
  <c r="H54" s="1"/>
  <c r="H52"/>
  <c r="H51"/>
  <c r="H50"/>
  <c r="H49"/>
  <c r="H48"/>
  <c r="H47"/>
  <c r="H46"/>
  <c r="H45"/>
  <c r="H44"/>
  <c r="G38"/>
  <c r="H38" s="1"/>
  <c r="H39" s="1"/>
  <c r="G28" i="1" s="1"/>
  <c r="H28" s="1"/>
  <c r="I28" s="1"/>
  <c r="H37" i="7"/>
  <c r="H36"/>
  <c r="H35"/>
  <c r="H34"/>
  <c r="H33"/>
  <c r="E28"/>
  <c r="H26"/>
  <c r="H27" s="1"/>
  <c r="H28" s="1"/>
  <c r="G26"/>
  <c r="H25"/>
  <c r="H24"/>
  <c r="H23"/>
  <c r="H22"/>
  <c r="H21"/>
  <c r="H20"/>
  <c r="H19"/>
  <c r="H18"/>
  <c r="H17"/>
  <c r="H16"/>
  <c r="B11"/>
  <c r="G10"/>
  <c r="G9"/>
  <c r="G81" s="1"/>
  <c r="H81" s="1"/>
  <c r="H82" s="1"/>
  <c r="H83" s="1"/>
  <c r="A7"/>
  <c r="H52" i="6"/>
  <c r="H51"/>
  <c r="H50"/>
  <c r="H49"/>
  <c r="H48"/>
  <c r="H47"/>
  <c r="H46"/>
  <c r="E42"/>
  <c r="H42" s="1"/>
  <c r="H43" s="1"/>
  <c r="H41"/>
  <c r="H40"/>
  <c r="H39"/>
  <c r="H38"/>
  <c r="H37"/>
  <c r="H36"/>
  <c r="H35"/>
  <c r="H34"/>
  <c r="H33"/>
  <c r="H32"/>
  <c r="H31"/>
  <c r="H25"/>
  <c r="H26" s="1"/>
  <c r="F25"/>
  <c r="H24"/>
  <c r="H23"/>
  <c r="H16"/>
  <c r="H15"/>
  <c r="H14"/>
  <c r="B11"/>
  <c r="H10"/>
  <c r="H9"/>
  <c r="E53" s="1"/>
  <c r="H53" s="1"/>
  <c r="H54" s="1"/>
  <c r="A7"/>
  <c r="F60" i="1"/>
  <c r="F58"/>
  <c r="F57"/>
  <c r="F56"/>
  <c r="F55"/>
  <c r="F54"/>
  <c r="F53"/>
  <c r="F52"/>
  <c r="F51"/>
  <c r="F50"/>
  <c r="F49"/>
  <c r="F48"/>
  <c r="G47"/>
  <c r="F47"/>
  <c r="F45"/>
  <c r="F44"/>
  <c r="F43"/>
  <c r="F42"/>
  <c r="F40"/>
  <c r="G39"/>
  <c r="F39"/>
  <c r="G38"/>
  <c r="F38"/>
  <c r="F37"/>
  <c r="F36"/>
  <c r="F35"/>
  <c r="F32"/>
  <c r="F31"/>
  <c r="F30"/>
  <c r="F29"/>
  <c r="F28"/>
  <c r="F26"/>
  <c r="F24"/>
  <c r="G23"/>
  <c r="H23" s="1"/>
  <c r="I23" s="1"/>
  <c r="F23"/>
  <c r="F20"/>
  <c r="G18"/>
  <c r="H18" s="1"/>
  <c r="I18" s="1"/>
  <c r="F18"/>
  <c r="F17"/>
  <c r="F16"/>
  <c r="F15"/>
  <c r="G14"/>
  <c r="H14" s="1"/>
  <c r="F14"/>
  <c r="G13"/>
  <c r="H13" s="1"/>
  <c r="I13" s="1"/>
  <c r="F13"/>
  <c r="G7"/>
  <c r="D7"/>
  <c r="H57" s="1"/>
  <c r="I57" s="1"/>
  <c r="G16" l="1"/>
  <c r="H16" s="1"/>
  <c r="I16" s="1"/>
  <c r="G11" i="4" s="1"/>
  <c r="G15" i="1"/>
  <c r="H15" s="1"/>
  <c r="I15" s="1"/>
  <c r="F11" i="4"/>
  <c r="I14" i="1"/>
  <c r="I12"/>
  <c r="C11" i="4" s="1"/>
  <c r="H38" i="1"/>
  <c r="I38" s="1"/>
  <c r="H47"/>
  <c r="I47" s="1"/>
  <c r="H17"/>
  <c r="I17" s="1"/>
  <c r="H20"/>
  <c r="I20" s="1"/>
  <c r="H24"/>
  <c r="I24" s="1"/>
  <c r="G15" i="4" s="1"/>
  <c r="H29" i="1"/>
  <c r="I29" s="1"/>
  <c r="H36"/>
  <c r="I36" s="1"/>
  <c r="H43"/>
  <c r="I43" s="1"/>
  <c r="H50"/>
  <c r="I50" s="1"/>
  <c r="H54"/>
  <c r="I54" s="1"/>
  <c r="H58"/>
  <c r="I58" s="1"/>
  <c r="G19" i="4" s="1"/>
  <c r="H60" i="1"/>
  <c r="I60" s="1"/>
  <c r="I59" s="1"/>
  <c r="C21" i="4" s="1"/>
  <c r="H44" i="1"/>
  <c r="I44" s="1"/>
  <c r="H26"/>
  <c r="I26" s="1"/>
  <c r="H30"/>
  <c r="I30" s="1"/>
  <c r="H37"/>
  <c r="I37" s="1"/>
  <c r="H31"/>
  <c r="I31" s="1"/>
  <c r="H40"/>
  <c r="I40" s="1"/>
  <c r="H45"/>
  <c r="I45" s="1"/>
  <c r="H48"/>
  <c r="I48" s="1"/>
  <c r="H52"/>
  <c r="I52" s="1"/>
  <c r="H56"/>
  <c r="I56" s="1"/>
  <c r="E17" i="6"/>
  <c r="H17" s="1"/>
  <c r="H18" s="1"/>
  <c r="H19" s="1"/>
  <c r="H20" s="1"/>
  <c r="J20" s="1"/>
  <c r="H39" i="1"/>
  <c r="I39" s="1"/>
  <c r="H51"/>
  <c r="I51" s="1"/>
  <c r="H55"/>
  <c r="I55" s="1"/>
  <c r="H27"/>
  <c r="I27" s="1"/>
  <c r="H32"/>
  <c r="I32" s="1"/>
  <c r="H35"/>
  <c r="I35" s="1"/>
  <c r="H42"/>
  <c r="I42" s="1"/>
  <c r="H49"/>
  <c r="I49" s="1"/>
  <c r="H53"/>
  <c r="I53" s="1"/>
  <c r="E27" i="6"/>
  <c r="H27" s="1"/>
  <c r="H28" s="1"/>
  <c r="D11" i="4" l="1"/>
  <c r="F12"/>
  <c r="G23"/>
  <c r="G12"/>
  <c r="F22"/>
  <c r="D21"/>
  <c r="E22"/>
  <c r="G21"/>
  <c r="G22" s="1"/>
  <c r="G17"/>
  <c r="G18" s="1"/>
  <c r="I33" i="1"/>
  <c r="C17" i="4" s="1"/>
  <c r="D19"/>
  <c r="I19" i="1"/>
  <c r="C13" i="4" s="1"/>
  <c r="D13"/>
  <c r="F19"/>
  <c r="I46" i="1"/>
  <c r="E11" i="4"/>
  <c r="I21" i="1"/>
  <c r="H62" l="1"/>
  <c r="M14" s="1"/>
  <c r="C19" i="4"/>
  <c r="F20" s="1"/>
  <c r="C15"/>
  <c r="E15"/>
  <c r="F15"/>
  <c r="D20"/>
  <c r="D12"/>
  <c r="H11"/>
  <c r="I11" s="1"/>
  <c r="D23"/>
  <c r="F14"/>
  <c r="G14"/>
  <c r="E14"/>
  <c r="E12"/>
  <c r="H13"/>
  <c r="I13" s="1"/>
  <c r="D14"/>
  <c r="D18"/>
  <c r="F17"/>
  <c r="E18"/>
  <c r="H21"/>
  <c r="I21" s="1"/>
  <c r="D22"/>
  <c r="H15" l="1"/>
  <c r="I15" s="1"/>
  <c r="E16"/>
  <c r="F16"/>
  <c r="F23"/>
  <c r="F18"/>
  <c r="H17"/>
  <c r="I17" s="1"/>
  <c r="D16"/>
  <c r="C23"/>
  <c r="G25" s="1"/>
  <c r="G16"/>
  <c r="E19"/>
  <c r="E23" s="1"/>
  <c r="G20"/>
  <c r="D25"/>
  <c r="D26"/>
  <c r="E25" l="1"/>
  <c r="H23"/>
  <c r="I23" s="1"/>
  <c r="E20"/>
  <c r="H19"/>
  <c r="I19" s="1"/>
  <c r="H25"/>
  <c r="I25" s="1"/>
  <c r="D27"/>
  <c r="E26"/>
  <c r="F26" s="1"/>
  <c r="G26" s="1"/>
  <c r="F25"/>
  <c r="E27" l="1"/>
  <c r="F27" s="1"/>
  <c r="G27" s="1"/>
</calcChain>
</file>

<file path=xl/sharedStrings.xml><?xml version="1.0" encoding="utf-8"?>
<sst xmlns="http://schemas.openxmlformats.org/spreadsheetml/2006/main" count="802" uniqueCount="441">
  <si>
    <t xml:space="preserve">             MINISTÉRIO DO DESENVOLVIMENTO REGIONAL</t>
  </si>
  <si>
    <t xml:space="preserve">             COMPANHIA DE DESENVOLVIMENTO DOS VALES DO SÃO FRANCISCO E DO PARNAÍBA</t>
  </si>
  <si>
    <t xml:space="preserve">             2.ª GRD da 2ª SUPERINTENDÊNCIA REGIONAL- Bom Jesus da Lapa/Ba.</t>
  </si>
  <si>
    <t>Construção da Praça no Povoado Honorato, no município de Barro Alto/BA</t>
  </si>
  <si>
    <t xml:space="preserve">BDI SERVIÇOS:                                               </t>
  </si>
  <si>
    <t xml:space="preserve">ENCARGOS SOCIAIS: </t>
  </si>
  <si>
    <t>BASE:</t>
  </si>
  <si>
    <t>SINAPI: SETEMBRO/2022; ORSE: SETEMBRO/2022;</t>
  </si>
  <si>
    <t>PLANILHA ORÇAMENTÁRIA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</si>
  <si>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</si>
  <si>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</si>
  <si>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</si>
  <si>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</si>
  <si>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</si>
  <si>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</si>
  <si>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</si>
  <si>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</si>
  <si>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</si>
  <si>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Serviços Preliminares</t>
  </si>
  <si>
    <t>1.1</t>
  </si>
  <si>
    <t xml:space="preserve"> CPU 001</t>
  </si>
  <si>
    <t>Próprio</t>
  </si>
  <si>
    <t>Placa de Obra - Padrão Governo Federal</t>
  </si>
  <si>
    <t>m²</t>
  </si>
  <si>
    <t>1.2</t>
  </si>
  <si>
    <t>CPU 002</t>
  </si>
  <si>
    <t>Administração Local</t>
  </si>
  <si>
    <t>Global</t>
  </si>
  <si>
    <t>Ajustar na CPU</t>
  </si>
  <si>
    <t>1.3</t>
  </si>
  <si>
    <t xml:space="preserve"> CPU 003</t>
  </si>
  <si>
    <t>Mobilização</t>
  </si>
  <si>
    <t>UN</t>
  </si>
  <si>
    <t>1.4</t>
  </si>
  <si>
    <t>Desmoblização</t>
  </si>
  <si>
    <t>1.5</t>
  </si>
  <si>
    <t xml:space="preserve"> 4657 </t>
  </si>
  <si>
    <t>ORSE</t>
  </si>
  <si>
    <t>Locação de container - Escritório com banheiro - 6,20 x 2,40m</t>
  </si>
  <si>
    <t>mês</t>
  </si>
  <si>
    <t>1.6</t>
  </si>
  <si>
    <t xml:space="preserve"> CPU 004</t>
  </si>
  <si>
    <t>Serviços topográficos</t>
  </si>
  <si>
    <t>Limpeza e Terraplanagem</t>
  </si>
  <si>
    <t>2.1</t>
  </si>
  <si>
    <t>SINAPI</t>
  </si>
  <si>
    <t>Limpeza mecanizada de camada vegetal, vegetação e pequenas árvores (diâmetro de tronco menor que 0,20 m), com trator de esteiras.</t>
  </si>
  <si>
    <t>Pavimentação</t>
  </si>
  <si>
    <t>3.1</t>
  </si>
  <si>
    <t>Intertravado</t>
  </si>
  <si>
    <t>3.1.1</t>
  </si>
  <si>
    <t xml:space="preserve"> CPU 005</t>
  </si>
  <si>
    <t>EXECUÇÃO DE PÁTIO/ESTACIONAMENTO EM PISO INTERTRAVADO, COM BLOCO RETANGULAR COR NATURAL DE 20 X 10 CM, ESPESSURA 6 CM.</t>
  </si>
  <si>
    <t>3.1.2</t>
  </si>
  <si>
    <t>PINTURA DE PISO COM TINTA ACRÍLICA, APLICAÇÃO MANUAL, 2 DEMÃOS, INCLUSO FUNDO PREPARADOR.</t>
  </si>
  <si>
    <t>3.2</t>
  </si>
  <si>
    <t>Passeio</t>
  </si>
  <si>
    <t>3.2.1</t>
  </si>
  <si>
    <t xml:space="preserve"> 94992 </t>
  </si>
  <si>
    <t>EXECUÇÃO DE PASSEIO (CALÇADA) OU PISO DE CONCRETO COM CONCRETO MOLDADO IN LOCO, FEITO EM OBRA, ACABAMENTO CONVENCIONAL, ESPESSURA 6 CM, ARMADO.</t>
  </si>
  <si>
    <t>3.2.2</t>
  </si>
  <si>
    <t>Piso tátil direcional e/ou de alerta, de concreto, colorido, para deficientes visuais, dimensões 25 x 25 cm, aplicado com argamassa industrializada ac-II, rejuntado, exclusive regularização de base</t>
  </si>
  <si>
    <t>3.2.3</t>
  </si>
  <si>
    <t xml:space="preserve"> CPU 006</t>
  </si>
  <si>
    <t>Execução de rampa de acesso à calçada</t>
  </si>
  <si>
    <t>m³</t>
  </si>
  <si>
    <t>3.2.4</t>
  </si>
  <si>
    <t>ESCAVAÇÃO MANUAL DE VALA COM PROFUNDIDADE MENOR OU IGUAL A 1,30 M.</t>
  </si>
  <si>
    <t>3.2.5</t>
  </si>
  <si>
    <t>LASTRO DE CONCRETO MAGRO, APLICADO EM PISOS, LAJES SOBRE SOLO OU RADIERS, ESPESSURA DE 3 CM</t>
  </si>
  <si>
    <t>3.2.6</t>
  </si>
  <si>
    <t>ASSENTAMENTO DE GUIA (MEIO-FIO) EM TRECHO RETO, CONFECCIONADA EM CONCRETO PRÉ-FABRICADO, DIMENSÕES 39X6,5X6,5X19 CM (COMPRIMENTO X BASE INFERIOR X BASE SUPERIOR X ALTURA), PARA DELIMITAÇÃO DE JARDINS, PRAÇAS OU PASSEIOS.</t>
  </si>
  <si>
    <t>M</t>
  </si>
  <si>
    <t>3.2.7</t>
  </si>
  <si>
    <t>ASSENTAMENTO DE GUIA (MEIO-FIO) EM TRECHO CURVO, CONFECCIONADA EM CONCRETO PRÉ-FABRICADO, DIMENSÕES 39X6,5X6,5X19 CM (COMPRIMENTO X BASE INFERIOR X BASE SUPERIOR X ALTURA), PARA DELIMITAÇÃO DE JARDINS, PRAÇAS OU PASSEIOS.</t>
  </si>
  <si>
    <t>Paisagismo e acessórios</t>
  </si>
  <si>
    <t>4.1</t>
  </si>
  <si>
    <t>Paisagismo</t>
  </si>
  <si>
    <t>4.1.1</t>
  </si>
  <si>
    <t xml:space="preserve"> 103946 </t>
  </si>
  <si>
    <t>PLANTIO DE GRAMA ESMERALDA OU SÃO CARLOS OU CURITIBANA, EM PLACAS.</t>
  </si>
  <si>
    <t>4.1.2</t>
  </si>
  <si>
    <t>INSTALAÇÃO DE PERGOLADO DE MADEIRA, EM MAÇARANDUBA, ANGELIM OU EQUIVALENTE DA REGIÃO, FIXADO COM CONCRETO SOBRE SOLO.</t>
  </si>
  <si>
    <t>4.1.3</t>
  </si>
  <si>
    <t>Conjunto com 3 lixeiras em fibra de vidro, com capacidade de 20 l cada, com tampa vai e vem</t>
  </si>
  <si>
    <t>4.1.4</t>
  </si>
  <si>
    <t xml:space="preserve"> CPU 007</t>
  </si>
  <si>
    <t>Banco com pés em concreto pré-moldado e assento e encosto de madeira</t>
  </si>
  <si>
    <t>4.1.5</t>
  </si>
  <si>
    <t xml:space="preserve"> CPU 008</t>
  </si>
  <si>
    <t xml:space="preserve">Parque infantil - fornecimento e instalação </t>
  </si>
  <si>
    <t>CJ</t>
  </si>
  <si>
    <t>4.1.6</t>
  </si>
  <si>
    <t>Colchão de areia</t>
  </si>
  <si>
    <t>4.2</t>
  </si>
  <si>
    <t>Banco-jardineira das árvores</t>
  </si>
  <si>
    <t>4.2.1</t>
  </si>
  <si>
    <t>ALVENARIA DE VEDAÇÃO DE BLOCOS CERÂMICOS FURADOS NA VERTICAL DE 9X19X39 CM (ESPESSURA 9 CM) E ARGAMASSA DE ASSENTAMENTO COM PREPARO MANUAL.</t>
  </si>
  <si>
    <t>4.2.2</t>
  </si>
  <si>
    <t>Chapisco aplicado em alvenaria (sem presença de vãos) e estruturas de concreto de fachada, com colher de pedreiro. argamassa traço 1:3 com preparo manual.</t>
  </si>
  <si>
    <t>4.2.3</t>
  </si>
  <si>
    <t>Massa única, para recebimento de pintura, em argamassa traço 1:2:8, preparo manual,</t>
  </si>
  <si>
    <t>4.2.4</t>
  </si>
  <si>
    <t>Aplicação manual de pintura com tinta látex acrílica em paredes, duas demãos.</t>
  </si>
  <si>
    <t>Iluminação Pública</t>
  </si>
  <si>
    <t>5.1</t>
  </si>
  <si>
    <t xml:space="preserve"> CPU 009</t>
  </si>
  <si>
    <t xml:space="preserve">Luminarias decorativas, poste com 9,0 m, com duas luminárias de led 100 W, fornecimento e instalação </t>
  </si>
  <si>
    <t>5.2</t>
  </si>
  <si>
    <t xml:space="preserve"> 91929 </t>
  </si>
  <si>
    <t>CABO DE COBRE FLEXÍVEL ISOLADO, 4 MM², ANTI-CHAMA 0,6/1,0 KV, PARA CIRCUITOS TERMINAIS - FORNECIMENTO E INSTALAÇÃO.</t>
  </si>
  <si>
    <t>5.3</t>
  </si>
  <si>
    <t xml:space="preserve"> 97667 </t>
  </si>
  <si>
    <t>ELETRODUTO FLEXÍVEL CORRUGADO, PEAD, DN 50 (1 1/2"), PARA REDE ENTERRADA DE DISTRIBUIÇÃO DE ENERGIA ELÉTRICA - FORNECIMENTO E INSTALAÇÃO.</t>
  </si>
  <si>
    <t>5.4</t>
  </si>
  <si>
    <t xml:space="preserve"> 101560 </t>
  </si>
  <si>
    <t>CABO DE COBRE FLEXÍVEL ISOLADO, 10 MM², 0,6/1,0 KV, PARA REDE AÉREA DE DISTRIBUIÇÃO DE ENERGIA ELÉTRICA DE BAIXA TENSÃO - FORNECIMENTO E INSTALAÇÃO.</t>
  </si>
  <si>
    <t>5.5</t>
  </si>
  <si>
    <t xml:space="preserve"> 91845 </t>
  </si>
  <si>
    <t>ELETRODUTO FLEXÍVEL CORRUGADO REFORÇADO, PVC, DN 25 MM (3/4"), PARA CIRCUITOS TERMINAIS, INSTALADO EM LAJE - FORNECIMENTO E INSTALAÇÃO.</t>
  </si>
  <si>
    <t>5.6</t>
  </si>
  <si>
    <t>5.7</t>
  </si>
  <si>
    <t>REATERRO MANUAL APILOADO COM SOQUETE.</t>
  </si>
  <si>
    <t>5.8</t>
  </si>
  <si>
    <t>5.9</t>
  </si>
  <si>
    <t>HASTE DE ATERRAMENTO 5/8 PARA SPDA - FORNECIMENTO E INSTALAÇÃO.</t>
  </si>
  <si>
    <t>5.10</t>
  </si>
  <si>
    <t>Caixa de passagem em alvenaria de tijolos maciços esp. = 0,12m, dim. int. = 0.40 x 0.40 x 0.40m</t>
  </si>
  <si>
    <t>5.11</t>
  </si>
  <si>
    <t>Tampa de concreto para caixas de passagem 0,40x0,40mx0,07m</t>
  </si>
  <si>
    <t>5.12</t>
  </si>
  <si>
    <t>Entrada de energia elétrica trifásica, com poste de concreto duplo T, quadro, caixa de inspeção e disjuntor.</t>
  </si>
  <si>
    <t>Limpeza</t>
  </si>
  <si>
    <t>6.1</t>
  </si>
  <si>
    <t>Limpeza de ruas (varrição e remoção de entulhos)</t>
  </si>
  <si>
    <t>Total Geral</t>
  </si>
  <si>
    <t>_______________________________________________________________
KAUÊ BRESSAN ANTUNES
Engenheiro Civil
ART: BA20220292693
CREA: 5063735828-SP</t>
  </si>
  <si>
    <t xml:space="preserve">                 MINISTÉRIO DO DESENVOLVIMENTO REGIONAL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</si>
  <si>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</si>
  <si>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</si>
  <si>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>PLANILHA COMPOSIÇÕES DE PREÇOS</t>
  </si>
  <si>
    <t>BDI (%):</t>
  </si>
  <si>
    <t>ENCARGOS SOCIAIS (%):</t>
  </si>
  <si>
    <t>NÃO DESONERADO</t>
  </si>
  <si>
    <t>CPU-01</t>
  </si>
  <si>
    <t>REF.</t>
  </si>
  <si>
    <t>CÓDIGO</t>
  </si>
  <si>
    <t>ADMINISTRAÇÃO LOCAL</t>
  </si>
  <si>
    <t>UND</t>
  </si>
  <si>
    <t>QUANTITATIVO</t>
  </si>
  <si>
    <t>PRECO UNITÁRIO</t>
  </si>
  <si>
    <t>TOTAL (R$)</t>
  </si>
  <si>
    <t>COMPOSICAO</t>
  </si>
  <si>
    <t>ENCARREGADO GERAL COM ENCARGOS COMPLEMENTARES</t>
  </si>
  <si>
    <t>H</t>
  </si>
  <si>
    <t>ENGENHEIRO CIVIL DE OBRA JUNIOR COM ENCARGOS COMPLEMENTARES</t>
  </si>
  <si>
    <t>Sub total:</t>
  </si>
  <si>
    <t>Total para 4 meses:</t>
  </si>
  <si>
    <t>PREÇO UNITÁRIO TOTAL:</t>
  </si>
  <si>
    <t>CPU-02</t>
  </si>
  <si>
    <t>MOBILIZAÇÃO / DESMOBILIZAÇÃO</t>
  </si>
  <si>
    <t>SICRO</t>
  </si>
  <si>
    <t>E9667</t>
  </si>
  <si>
    <t>Caminhão basculante com capacidade de 14 m³ - 188 kW</t>
  </si>
  <si>
    <t>CHP</t>
  </si>
  <si>
    <t>E9571</t>
  </si>
  <si>
    <t>Caminhão tanque com capacidade de 10.000 l - 188 kW</t>
  </si>
  <si>
    <t>Transporte com cavalo mecânico com semirreboque, capacidade de 30 T - Rodovia pavimentada</t>
  </si>
  <si>
    <t>t.km</t>
  </si>
  <si>
    <t>CPU-03</t>
  </si>
  <si>
    <t>PLACA DE OBRA EM CHAPA DE ACO GALVANIZADO</t>
  </si>
  <si>
    <t>INSUMO</t>
  </si>
  <si>
    <t>PREGO 18X30.</t>
  </si>
  <si>
    <t>kg</t>
  </si>
  <si>
    <t>PECA DE MADEIRA NATIVA / REGIONAL 7,5 X 7,5CM (3X3) NAO APARELHADA (P/FORMA)</t>
  </si>
  <si>
    <t>m</t>
  </si>
  <si>
    <t xml:space="preserve">SARRAFO NAO APARELHADO *2,5 X 7* CM, EM MACARANDUBA, ANGELIM OU EQUIVALENTE DA REGIAO 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</si>
  <si>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</si>
  <si>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</si>
  <si>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</si>
  <si>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</si>
  <si>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</si>
  <si>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</si>
  <si>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h</t>
  </si>
  <si>
    <t>CARPINTEIRO DE FORMAS COM ENCARGOS COMPLEMENTARES</t>
  </si>
  <si>
    <t>SERVENTE COM ENCARGOS COMPLEMENTARES</t>
  </si>
  <si>
    <t>CPU-04</t>
  </si>
  <si>
    <t>SERVIÇOS TOPOGRÁFICOS</t>
  </si>
  <si>
    <t>SARRAFO DE MADEIRA APARELHADA *2 X 10* CM,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</si>
  <si>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</si>
  <si>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</si>
  <si>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</si>
  <si>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</si>
  <si>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chp</t>
  </si>
  <si>
    <t xml:space="preserve">                      MINISTÉRIO DO DESENVOLVIMENTO REGIONAL</t>
  </si>
  <si>
    <t xml:space="preserve">                      COMPANHIA DE DESENVOLVIMENTO DOS VALES DO SÃO FRANCISCO E DO PARNAÍBA</t>
  </si>
  <si>
    <t xml:space="preserve">                      2.ª GRD da 2ª SUPERINTENDÊNCIA REGIONAL- Bom Jesus da Lapa/Ba.</t>
  </si>
  <si>
    <t>CPU-05</t>
  </si>
  <si>
    <t>CODEVASF</t>
  </si>
  <si>
    <t>Próprio (sinapi 92397)</t>
  </si>
  <si>
    <t xml:space="preserve">EXECUÇÃO DE PASSEIO EM PISO INTERTRAVADO, COM BLOCO RETANGULAR COR NATURAL DE 20 X 10 CM, ESPESSURA 6 CM </t>
  </si>
  <si>
    <t>UNID</t>
  </si>
  <si>
    <t>COEF.</t>
  </si>
  <si>
    <t>PRECO UNITÁRIO (R$)</t>
  </si>
  <si>
    <t>370</t>
  </si>
  <si>
    <t>AREIA MEDIA - POSTO JAZIDA/FORNECEDOR (RETIRADO NA JAZIDA, SEM TRANSPORTE)</t>
  </si>
  <si>
    <t>M3</t>
  </si>
  <si>
    <t>0,0568000</t>
  </si>
  <si>
    <t>4741</t>
  </si>
  <si>
    <t>PO DE PEDRA (POSTO PEDREIRA/FORNECEDOR, SEM FRETE)</t>
  </si>
  <si>
    <t>0,0065000</t>
  </si>
  <si>
    <t>36155</t>
  </si>
  <si>
    <t>BLOQUETE/PISO INTERTRAVADO DE CONCRETO - MODELO ONDA/16 FACES/RETANGULAR/TIJOLINHO/PAVER/HOLANDES/PARALELEPIPEDO, 20 CM X 10 CM, E = 6 CM, RESISTENCIA DE 35 MPA (NBR 9781), COR NATURAL</t>
  </si>
  <si>
    <t>M2</t>
  </si>
  <si>
    <t>1,0031000</t>
  </si>
  <si>
    <t>88260</t>
  </si>
  <si>
    <t>CALCETEIRO COM ENCARGOS COMPLEMENTARES</t>
  </si>
  <si>
    <t>0,1595000</t>
  </si>
  <si>
    <t>88316</t>
  </si>
  <si>
    <t>Orse</t>
  </si>
  <si>
    <t>91277</t>
  </si>
  <si>
    <t>PLACA VIBRATÓRIA REVERSÍVEL COM MOTOR 4 TEMPOS A GASOLINA, FORÇA CENTRÍFUGA DE 25 KN (2500 KGF), POTÊNCIA 5,5 CV - CHP DIURNO. AF_08/2015</t>
  </si>
  <si>
    <t>0,0041000</t>
  </si>
  <si>
    <t>91278</t>
  </si>
  <si>
    <t>PLACA VIBRATÓRIA REVERSÍVEL COM MOTOR 4 TEMPOS A GASOLINA, FORÇA CENTRÍFUGA DE 25 KN (2500 KGF), POTÊNCIA 5,5 CV - CHI DIURNO. AF_08/2015</t>
  </si>
  <si>
    <t>CHI</t>
  </si>
  <si>
    <t>0,0757000</t>
  </si>
  <si>
    <t>91283</t>
  </si>
  <si>
    <t>CORTADORA DE PISO COM MOTOR 4 TEMPOS A GASOLINA, POTÊNCIA DE 13 HP, COM DISCO DE CORTE DIAMANTADO SEGMENTADO PARA CONCRETO, DIÂMETRO DE 350 MM, FURO DE 1" (14 X 1") - CHP DIURNO. AF_08/2015</t>
  </si>
  <si>
    <t>0,0037000</t>
  </si>
  <si>
    <t>91285</t>
  </si>
  <si>
    <t>CORTADORA DE PISO COM MOTOR 4 TEMPOS A GASOLINA, POTÊNCIA DE 13 HP, COM DISCO DE CORTE DIAMANTADO SEGMENTADO PARA CONCRETO, DIÂMETRO DE 350 MM, FURO DE 1" (14 X 1") - CHI DIURNO. AF_08/2015</t>
  </si>
  <si>
    <t>0,0760000</t>
  </si>
  <si>
    <t>BDI</t>
  </si>
  <si>
    <t>Total Serviços:</t>
  </si>
  <si>
    <t>CPU-06</t>
  </si>
  <si>
    <t>RAMPA DE ACESSIBILIDADE</t>
  </si>
  <si>
    <t xml:space="preserve">SINAPI </t>
  </si>
  <si>
    <t>SARRAFO NAO APARELHADO *2,5 X 10* CM, EM MACARANDUBA, ANGELIM OU EQUIVALENTE DA REGIAO -  BRUTA</t>
  </si>
  <si>
    <t>SARRAFO *2,5 X 7,5* CM EM PINUS, MISTA OU EQUIVALENTE DA REGIAO - BRUTA</t>
  </si>
  <si>
    <t>CONCRETO FCK = 20MPA, TRAÇO 1:2,7:3 (EM MASSA SECA DE CIMENTO/ AREIA MÉDIA/ BRITA 1) - PREPARO MECÂNICO COM BETONEIRA 400 L. AF_05/2021</t>
  </si>
  <si>
    <t>M³</t>
  </si>
  <si>
    <t>CPU-07</t>
  </si>
  <si>
    <t>Banco em concreto (pés), com assento e encosto de madeira</t>
  </si>
  <si>
    <t>Luminarias decorativas com chapeu refletor em aluminio, poste de 3 m, inclusive lampada de 250 w</t>
  </si>
  <si>
    <t>AJUDANTE DE CARPINTEIRO COM ENCARGOS COMPLEMENTARES</t>
  </si>
  <si>
    <t>PARAFUSO FRANCÊS, COMPRIMENTO = 150 MM, DIÂMETRO 16 MM, CABEÇA ABAULADA</t>
  </si>
  <si>
    <t xml:space="preserve">FORMA PLANA PARA ESTRUTURAS, EM COMPENSADO RESINADO DE 10 MM, 2 USOS, INCLUSIVE ESCORAMENTO </t>
  </si>
  <si>
    <t>M²</t>
  </si>
  <si>
    <t>VIGA APARELHADA *6 X 12* CM, EM MACARANDUBA, ANGELIM OU EQUIVALENTE DA REGIAO</t>
  </si>
  <si>
    <t>ARMAÇÃO DE PILAR OU VIGA DE UMA ESTRUTURA CONVENCIONAL DE CONCRETO ARMADO</t>
  </si>
  <si>
    <t>KG</t>
  </si>
  <si>
    <t>Pintura verniz (incolor) alquídico em madeira</t>
  </si>
  <si>
    <t>CPU-08</t>
  </si>
  <si>
    <t xml:space="preserve">ESCORREGADEIRA EM AÇO CARBONO COM 2 M DE PISTA </t>
  </si>
  <si>
    <t>GANGORRA COM 3 PRANCHAS EM AÇO INDUSTRIAL OU MADEIRA</t>
  </si>
  <si>
    <t>BRINQUEDO GIRA-GIRA (CARROSSEL DIAM. = 1,70 M) EM TUBO DE FERRO GALVANIZADO 1 1/2" E ASSENTO EM CHAPA GALVANIZADA E= 1/4"</t>
  </si>
  <si>
    <t>BALANÇO COM 3 LUGARES EM AÇO INDUSTRIAL OU MADEIRA</t>
  </si>
  <si>
    <t>CPU-09</t>
  </si>
  <si>
    <t xml:space="preserve">Próprio </t>
  </si>
  <si>
    <t>ESCAVAÇÃO MANUAL DE VALA COM PROFUNDIDADE MENOR IGUAL 1,3 M.</t>
  </si>
  <si>
    <t>CABO DE COBRE NU 35 MM² MEIO-DURO</t>
  </si>
  <si>
    <t xml:space="preserve">CHUMBADOR DE AÇO, 1" X 600 MM, PARA POSTES DE AÇO COM BASE, INCLUSO PORCA E ARRUELA  </t>
  </si>
  <si>
    <t>Poste conico continuo em aco galvanizado, reto, engastado,h = 9 m, diametro inferior = *145* mm</t>
  </si>
  <si>
    <t>ELETRICISTA COM ENCARGOS COMPLEMENTARES</t>
  </si>
  <si>
    <t>AUXILIAR DE ELETRICISTA COM ESCARGOS COMPLEMENTARES</t>
  </si>
  <si>
    <t>FITA ISOLANTE ADESIVA ANTICHAMA, USO ATÉ 750 V, EM ROLO DE 19 MM X 5 M</t>
  </si>
  <si>
    <t>Luminaria de led para iluminacao publica, de 138 w ate 180 w, involucro em aluminio ou aco inox</t>
  </si>
  <si>
    <t>ALUGUEL DE CAMINHÃO GUINDAUTO 3,0 T</t>
  </si>
  <si>
    <t>MINISTÉRIO DO DESENVOLVIMENTO REGIONAL</t>
  </si>
  <si>
    <t>COMPANHIA DE DESENVOLVIMENTO DOS VALES DO SÃO FRANCISCO E DO PARNAÍBA</t>
  </si>
  <si>
    <t>2.ª GRD da 2ª SUPERINTENDÊNCIA REGIONAL- Bom Jesus da Lapa/Ba.</t>
  </si>
  <si>
    <t>MEMÓRIA DE CÁLCULO DOS MOMENTOS DE TRANSPORTE PARA MOBILIZAÇÃO E DESMOBILIZAÇÃO</t>
  </si>
  <si>
    <t>Cidade pólo</t>
  </si>
  <si>
    <t>Irecê/Ba</t>
  </si>
  <si>
    <t>Cidade beneficiada</t>
  </si>
  <si>
    <t>Barro Alto/Ba</t>
  </si>
  <si>
    <t>Dist. da Origem ao destino:</t>
  </si>
  <si>
    <t xml:space="preserve"> km</t>
  </si>
  <si>
    <t>Distância Total:</t>
  </si>
  <si>
    <t>Peso das máquinas:</t>
  </si>
  <si>
    <t>Retroescavadeira</t>
  </si>
  <si>
    <t xml:space="preserve"> ton</t>
  </si>
  <si>
    <t>Grade de 24 discos rebocável de 24"</t>
  </si>
  <si>
    <t xml:space="preserve">Motoniveladora </t>
  </si>
  <si>
    <t>Rolo compactador liso vibratório 10,4 t</t>
  </si>
  <si>
    <t xml:space="preserve"> t x km</t>
  </si>
  <si>
    <t xml:space="preserve">                          COMPANHIA DE DESENVOLVIMENTO DOS VALES DO SÃO FRANCISCO E DO PARNAÍBA</t>
  </si>
  <si>
    <t>MEMÓRIA DE CÁLCULO</t>
  </si>
  <si>
    <t>Memória de Cálculo</t>
  </si>
  <si>
    <t xml:space="preserve"> = 3,60 x 1,80</t>
  </si>
  <si>
    <t xml:space="preserve"> = Conforme CPU</t>
  </si>
  <si>
    <t xml:space="preserve"> = nº de meses de execução</t>
  </si>
  <si>
    <t xml:space="preserve"> = área de terreno</t>
  </si>
  <si>
    <t xml:space="preserve"> = conforme áreas de projeto (234,54 + 147,34 + 181,89 + 163,26)</t>
  </si>
  <si>
    <t xml:space="preserve"> = conforme áreas de projeto (147,34 + 181,89 + 163,26)</t>
  </si>
  <si>
    <t xml:space="preserve"> = conforme áreas de projeto</t>
  </si>
  <si>
    <t>passeio</t>
  </si>
  <si>
    <t xml:space="preserve"> = conforme projeto</t>
  </si>
  <si>
    <t xml:space="preserve"> = 5 unidades x (1,20 x 0,10/2)</t>
  </si>
  <si>
    <t xml:space="preserve"> = (236,42 + 431,27) x 0,15m x 0,15m</t>
  </si>
  <si>
    <t xml:space="preserve"> = (236,42 + 431,27) x 0,15m</t>
  </si>
  <si>
    <t>Meio-fio</t>
  </si>
  <si>
    <t>externo</t>
  </si>
  <si>
    <t>grama</t>
  </si>
  <si>
    <t>cruzeiro</t>
  </si>
  <si>
    <t xml:space="preserve"> = 25,88m² x 0,20m</t>
  </si>
  <si>
    <t>academia</t>
  </si>
  <si>
    <t xml:space="preserve"> = 8,48 x 0,45 x 4 unidades</t>
  </si>
  <si>
    <t xml:space="preserve"> = Comprimento eletrodutos 3/4" x 3 cabos</t>
  </si>
  <si>
    <t xml:space="preserve"> = Comprimento eletrodutos 1 1/4" x 3 cabos</t>
  </si>
  <si>
    <t xml:space="preserve"> = (250 + 15) x 0,40 x 0,40</t>
  </si>
  <si>
    <t xml:space="preserve"> = escavação - colchão de areia</t>
  </si>
  <si>
    <t xml:space="preserve"> = (250 + 15) x 0,40 x 0,05</t>
  </si>
  <si>
    <t xml:space="preserve"> = 1 para cada poste</t>
  </si>
  <si>
    <t>PLANILHA DE DETALHAMENTO DO BDI</t>
  </si>
  <si>
    <t>OBRA:</t>
  </si>
  <si>
    <t>MEMÓRIA DE CALCULO DO BDI  DOS SERVIÇOS - NÃO DESONERADO</t>
  </si>
  <si>
    <t>Obras rodoviárias</t>
  </si>
  <si>
    <t>BDI APLICADO NA OBRA (SEM RISCO, SEGURO E GARANTIA)</t>
  </si>
  <si>
    <t>FAIXAS DE ADMISSIBILIDADE DE ACORDO COM O ACORDÃO N. 2622/2013 DO TCU</t>
  </si>
  <si>
    <t>ITEM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</si>
  <si>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</si>
  <si>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</si>
  <si>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</si>
  <si>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</si>
  <si>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</si>
  <si>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</si>
  <si>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</si>
  <si>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</si>
  <si>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</si>
  <si>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</si>
  <si>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</si>
  <si>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</si>
  <si>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</si>
  <si>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</si>
  <si>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</si>
  <si>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</si>
  <si>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</si>
  <si>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</si>
  <si>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</si>
  <si>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</si>
  <si>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</si>
  <si>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</si>
  <si>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</si>
  <si>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</si>
  <si>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</si>
  <si>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</si>
  <si>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</si>
  <si>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</si>
  <si>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</si>
  <si>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</si>
  <si>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</si>
  <si>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</si>
  <si>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</si>
  <si>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</si>
  <si>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</si>
  <si>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</si>
  <si>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</si>
  <si>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</si>
  <si>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</si>
  <si>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NOME DA CONCORRENTE:</t>
  </si>
  <si>
    <t>EDITAL:</t>
  </si>
  <si>
    <t>FOLHA:</t>
  </si>
  <si>
    <t>DETALHAMENTO DOS ENCARGOS SOCIAIS (%) - PRAÇAS</t>
  </si>
  <si>
    <t>VIGÊNCIA A PARTIR DE 10/2021</t>
  </si>
  <si>
    <t>COM DESONERAÇÃO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</si>
  <si>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</si>
  <si>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</si>
  <si>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</si>
  <si>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</si>
  <si>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</si>
  <si>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</si>
  <si>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</si>
  <si>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</si>
  <si>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</si>
  <si>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</si>
  <si>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</si>
  <si>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</si>
  <si>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</si>
  <si>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</si>
  <si>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</si>
  <si>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</si>
  <si>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</si>
  <si>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</si>
  <si>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</si>
  <si>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</si>
  <si>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</si>
  <si>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</si>
  <si>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</si>
  <si>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</si>
  <si>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</si>
  <si>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</si>
  <si>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</si>
  <si>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</si>
  <si>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</si>
  <si>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</si>
  <si>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</si>
  <si>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</si>
  <si>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</si>
  <si>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</si>
  <si>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</si>
  <si>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</si>
  <si>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</si>
  <si>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</si>
  <si>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</si>
  <si>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</si>
  <si>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</si>
  <si>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</si>
  <si>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</si>
  <si>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</si>
  <si>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</si>
  <si>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</si>
  <si>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</si>
  <si>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</si>
  <si>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</si>
  <si>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</si>
  <si>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</si>
  <si>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</si>
  <si>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</si>
  <si>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</si>
  <si>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</si>
  <si>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</si>
  <si>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</si>
  <si>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</si>
  <si>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</si>
  <si>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</si>
  <si>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</si>
  <si>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 xml:space="preserve">                            COMPANHIA DE DESENVOLVIMENTO DOS VALES DO SÃO FRANCISCO E DO PARNAÍBA</t>
  </si>
  <si>
    <t>CRONOGRAMA FÍSICO/FINANCEIRO</t>
  </si>
  <si>
    <t xml:space="preserve">ITEM </t>
  </si>
  <si>
    <t>DISCRIMINAÇÃO</t>
  </si>
  <si>
    <t>VALOR (R$)</t>
  </si>
  <si>
    <t>1º  Mês</t>
  </si>
  <si>
    <t>2º  Mês</t>
  </si>
  <si>
    <t>3º  Mês</t>
  </si>
  <si>
    <t>4º  Mês</t>
  </si>
  <si>
    <t>TOTAIS</t>
  </si>
  <si>
    <t>% DO ITEM</t>
  </si>
  <si>
    <t>TOTAL ACUMULADO</t>
  </si>
  <si>
    <t>% ACUMULADA</t>
  </si>
</sst>
</file>

<file path=xl/styles.xml><?xml version="1.0" encoding="utf-8"?>
<styleSheet xmlns="http://schemas.openxmlformats.org/spreadsheetml/2006/main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#,##0.000000"/>
    <numFmt numFmtId="167" formatCode="#,##0.0000"/>
    <numFmt numFmtId="168" formatCode="#,##0.00\ ;&quot; (&quot;#,##0.00\);&quot; -&quot;#\ ;@\ "/>
    <numFmt numFmtId="169" formatCode="#,##0.0000000"/>
    <numFmt numFmtId="170" formatCode="&quot;R$&quot;\ #,##0.00"/>
    <numFmt numFmtId="171" formatCode="0.0000"/>
    <numFmt numFmtId="172" formatCode="&quot;R$&quot;#,##0.00_);[Red]\(&quot;R$&quot;#,##0.00\)"/>
  </numFmts>
  <fonts count="39">
    <font>
      <sz val="11"/>
      <name val="Arial"/>
      <charset val="134"/>
    </font>
    <font>
      <sz val="10"/>
      <name val="Arial"/>
      <charset val="134"/>
    </font>
    <font>
      <b/>
      <sz val="10"/>
      <color indexed="8"/>
      <name val="Arial Narrow"/>
      <charset val="134"/>
    </font>
    <font>
      <sz val="10"/>
      <color indexed="8"/>
      <name val="Arial Narrow"/>
      <charset val="134"/>
    </font>
    <font>
      <b/>
      <sz val="12"/>
      <name val="Arial"/>
      <charset val="134"/>
    </font>
    <font>
      <b/>
      <sz val="11"/>
      <name val="Arial"/>
      <charset val="134"/>
    </font>
    <font>
      <b/>
      <sz val="16"/>
      <name val="Arial"/>
      <charset val="134"/>
    </font>
    <font>
      <sz val="12"/>
      <name val="Arial"/>
      <charset val="134"/>
    </font>
    <font>
      <b/>
      <sz val="10"/>
      <name val="Arial"/>
      <charset val="134"/>
    </font>
    <font>
      <b/>
      <sz val="11"/>
      <color theme="0"/>
      <name val="Arial"/>
      <charset val="134"/>
    </font>
    <font>
      <sz val="11"/>
      <color theme="1"/>
      <name val="Arial"/>
      <charset val="134"/>
    </font>
    <font>
      <b/>
      <sz val="9"/>
      <name val="Arial"/>
      <charset val="134"/>
    </font>
    <font>
      <b/>
      <sz val="8"/>
      <name val="Arial"/>
      <charset val="134"/>
    </font>
    <font>
      <b/>
      <sz val="8"/>
      <color theme="1"/>
      <name val="Arial"/>
      <charset val="134"/>
    </font>
    <font>
      <b/>
      <strike/>
      <sz val="10"/>
      <name val="Arial"/>
      <charset val="134"/>
    </font>
    <font>
      <b/>
      <sz val="12"/>
      <color rgb="FFFF0000"/>
      <name val="Arial"/>
      <charset val="134"/>
    </font>
    <font>
      <sz val="12"/>
      <color indexed="8"/>
      <name val="Arial Narrow"/>
      <charset val="134"/>
    </font>
    <font>
      <b/>
      <sz val="14"/>
      <name val="Arial"/>
      <charset val="134"/>
    </font>
    <font>
      <sz val="8"/>
      <name val="Verdana"/>
      <charset val="134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b/>
      <sz val="15"/>
      <name val="Arial"/>
      <charset val="134"/>
    </font>
    <font>
      <b/>
      <sz val="18"/>
      <name val="Arial"/>
      <charset val="134"/>
    </font>
    <font>
      <sz val="9"/>
      <name val="Verdana"/>
      <charset val="134"/>
    </font>
    <font>
      <b/>
      <sz val="9"/>
      <name val="Verdana"/>
      <charset val="134"/>
    </font>
    <font>
      <b/>
      <sz val="8"/>
      <color indexed="8"/>
      <name val="Times New Roman"/>
      <charset val="134"/>
    </font>
    <font>
      <sz val="10"/>
      <color indexed="8"/>
      <name val="Times New Roman"/>
      <charset val="134"/>
    </font>
    <font>
      <sz val="8"/>
      <color indexed="8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b/>
      <sz val="8"/>
      <color indexed="8"/>
      <name val="Courier"/>
      <charset val="134"/>
    </font>
    <font>
      <sz val="8"/>
      <color indexed="8"/>
      <name val="Courier"/>
      <charset val="134"/>
    </font>
    <font>
      <b/>
      <sz val="8"/>
      <name val="Verdana"/>
      <charset val="134"/>
    </font>
    <font>
      <b/>
      <sz val="11"/>
      <name val="Verdana"/>
      <charset val="134"/>
    </font>
    <font>
      <sz val="11"/>
      <color rgb="FFFF0000"/>
      <name val="Arial"/>
      <charset val="134"/>
    </font>
    <font>
      <sz val="11"/>
      <color theme="1"/>
      <name val="Calibri"/>
      <charset val="134"/>
      <scheme val="minor"/>
    </font>
    <font>
      <sz val="11"/>
      <color rgb="FF000000"/>
      <name val="Calibri"/>
      <charset val="134"/>
    </font>
    <font>
      <sz val="11"/>
      <name val="Arial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rgb="FFD8ECF6"/>
        <bgColor indexed="64"/>
      </patternFill>
    </fill>
    <fill>
      <patternFill patternType="solid">
        <fgColor rgb="FFDFF0D8"/>
        <bgColor indexed="64"/>
      </patternFill>
    </fill>
    <fill>
      <patternFill patternType="solid">
        <fgColor theme="0" tint="-0.149906918546098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8" tint="0.39994506668294322"/>
        <bgColor indexed="64"/>
      </patternFill>
    </fill>
  </fills>
  <borders count="10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auto="1"/>
      </right>
      <top/>
      <bottom style="thin">
        <color rgb="FFCCCCCC"/>
      </bottom>
      <diagonal/>
    </border>
    <border>
      <left style="medium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auto="1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 style="medium">
        <color auto="1"/>
      </right>
      <top style="thin">
        <color rgb="FFCCCCCC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4">
    <xf numFmtId="0" fontId="0" fillId="0" borderId="0"/>
    <xf numFmtId="9" fontId="38" fillId="0" borderId="0" applyFont="0" applyFill="0" applyBorder="0" applyAlignment="0" applyProtection="0"/>
    <xf numFmtId="0" fontId="36" fillId="0" borderId="0"/>
    <xf numFmtId="165" fontId="1" fillId="0" borderId="0" applyFont="0" applyFill="0" applyBorder="0" applyAlignment="0" applyProtection="0"/>
    <xf numFmtId="0" fontId="1" fillId="0" borderId="0"/>
    <xf numFmtId="43" fontId="36" fillId="0" borderId="0" applyFont="0" applyFill="0" applyBorder="0" applyAlignment="0" applyProtection="0"/>
    <xf numFmtId="0" fontId="1" fillId="0" borderId="0"/>
    <xf numFmtId="0" fontId="36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36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6" fillId="0" borderId="0" applyFont="0" applyFill="0" applyBorder="0" applyAlignment="0" applyProtection="0"/>
    <xf numFmtId="0" fontId="1" fillId="0" borderId="0"/>
    <xf numFmtId="0" fontId="36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6" fillId="0" borderId="0" applyFont="0" applyFill="0" applyBorder="0" applyAlignment="0" applyProtection="0"/>
    <xf numFmtId="0" fontId="1" fillId="0" borderId="0"/>
    <xf numFmtId="43" fontId="3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567">
    <xf numFmtId="0" fontId="0" fillId="0" borderId="0" xfId="0"/>
    <xf numFmtId="0" fontId="1" fillId="0" borderId="0" xfId="40" applyAlignment="1">
      <alignment vertical="center"/>
    </xf>
    <xf numFmtId="0" fontId="1" fillId="0" borderId="0" xfId="33"/>
    <xf numFmtId="0" fontId="1" fillId="0" borderId="0" xfId="40"/>
    <xf numFmtId="49" fontId="2" fillId="0" borderId="1" xfId="40" applyNumberFormat="1" applyFont="1" applyBorder="1" applyAlignment="1">
      <alignment vertical="top" wrapText="1"/>
    </xf>
    <xf numFmtId="49" fontId="2" fillId="0" borderId="4" xfId="40" applyNumberFormat="1" applyFont="1" applyBorder="1" applyAlignment="1">
      <alignment vertical="top" wrapText="1"/>
    </xf>
    <xf numFmtId="0" fontId="1" fillId="0" borderId="4" xfId="40" applyBorder="1"/>
    <xf numFmtId="0" fontId="1" fillId="0" borderId="0" xfId="40" applyBorder="1"/>
    <xf numFmtId="0" fontId="1" fillId="0" borderId="0" xfId="40" applyBorder="1" applyAlignment="1">
      <alignment horizontal="center"/>
    </xf>
    <xf numFmtId="0" fontId="1" fillId="0" borderId="5" xfId="40" applyBorder="1"/>
    <xf numFmtId="49" fontId="0" fillId="0" borderId="4" xfId="40" applyNumberFormat="1" applyFont="1" applyBorder="1" applyAlignment="1">
      <alignment horizontal="center" vertical="center"/>
    </xf>
    <xf numFmtId="49" fontId="5" fillId="0" borderId="0" xfId="40" applyNumberFormat="1" applyFont="1" applyBorder="1" applyAlignment="1">
      <alignment horizontal="left" vertical="center"/>
    </xf>
    <xf numFmtId="49" fontId="5" fillId="0" borderId="0" xfId="40" applyNumberFormat="1" applyFont="1" applyBorder="1" applyAlignment="1">
      <alignment horizontal="center" vertical="center"/>
    </xf>
    <xf numFmtId="0" fontId="1" fillId="0" borderId="5" xfId="40" applyNumberFormat="1" applyBorder="1" applyAlignment="1">
      <alignment vertical="center"/>
    </xf>
    <xf numFmtId="0" fontId="1" fillId="0" borderId="9" xfId="40" applyBorder="1"/>
    <xf numFmtId="0" fontId="1" fillId="0" borderId="10" xfId="40" applyBorder="1"/>
    <xf numFmtId="0" fontId="1" fillId="0" borderId="10" xfId="40" applyBorder="1" applyAlignment="1">
      <alignment horizontal="center"/>
    </xf>
    <xf numFmtId="0" fontId="1" fillId="0" borderId="11" xfId="40" applyBorder="1"/>
    <xf numFmtId="0" fontId="4" fillId="0" borderId="12" xfId="40" applyFont="1" applyBorder="1" applyAlignment="1">
      <alignment horizontal="center" vertical="center"/>
    </xf>
    <xf numFmtId="0" fontId="4" fillId="0" borderId="13" xfId="40" applyFont="1" applyBorder="1" applyAlignment="1">
      <alignment horizontal="left" vertical="center"/>
    </xf>
    <xf numFmtId="164" fontId="7" fillId="3" borderId="13" xfId="52" applyNumberFormat="1" applyFont="1" applyFill="1" applyBorder="1" applyAlignment="1">
      <alignment horizontal="center"/>
    </xf>
    <xf numFmtId="43" fontId="7" fillId="0" borderId="13" xfId="52" applyNumberFormat="1" applyFont="1" applyBorder="1" applyAlignment="1">
      <alignment horizontal="center" vertical="center"/>
    </xf>
    <xf numFmtId="43" fontId="7" fillId="0" borderId="14" xfId="52" applyNumberFormat="1" applyFont="1" applyBorder="1" applyAlignment="1">
      <alignment horizontal="center" vertical="center"/>
    </xf>
    <xf numFmtId="43" fontId="1" fillId="0" borderId="0" xfId="40" applyNumberFormat="1"/>
    <xf numFmtId="164" fontId="0" fillId="0" borderId="13" xfId="52" applyNumberFormat="1" applyFont="1" applyBorder="1" applyAlignment="1">
      <alignment horizontal="center"/>
    </xf>
    <xf numFmtId="10" fontId="4" fillId="4" borderId="13" xfId="48" applyNumberFormat="1" applyFont="1" applyFill="1" applyBorder="1" applyAlignment="1">
      <alignment horizontal="center"/>
    </xf>
    <xf numFmtId="10" fontId="4" fillId="4" borderId="14" xfId="48" applyNumberFormat="1" applyFont="1" applyFill="1" applyBorder="1" applyAlignment="1">
      <alignment horizontal="center"/>
    </xf>
    <xf numFmtId="164" fontId="0" fillId="3" borderId="13" xfId="52" applyNumberFormat="1" applyFont="1" applyFill="1" applyBorder="1" applyAlignment="1">
      <alignment horizontal="center"/>
    </xf>
    <xf numFmtId="49" fontId="4" fillId="0" borderId="12" xfId="40" applyNumberFormat="1" applyFont="1" applyBorder="1" applyAlignment="1">
      <alignment horizontal="center" vertical="center"/>
    </xf>
    <xf numFmtId="4" fontId="4" fillId="0" borderId="13" xfId="40" applyNumberFormat="1" applyFont="1" applyBorder="1" applyAlignment="1">
      <alignment horizontal="left" vertical="center"/>
    </xf>
    <xf numFmtId="43" fontId="4" fillId="0" borderId="13" xfId="40" applyNumberFormat="1" applyFont="1" applyBorder="1" applyAlignment="1">
      <alignment horizontal="center"/>
    </xf>
    <xf numFmtId="43" fontId="4" fillId="0" borderId="14" xfId="40" applyNumberFormat="1" applyFont="1" applyBorder="1" applyAlignment="1">
      <alignment horizontal="center"/>
    </xf>
    <xf numFmtId="43" fontId="4" fillId="0" borderId="13" xfId="40" applyNumberFormat="1" applyFont="1" applyBorder="1" applyAlignment="1">
      <alignment horizontal="center" vertical="center"/>
    </xf>
    <xf numFmtId="43" fontId="4" fillId="0" borderId="14" xfId="40" applyNumberFormat="1" applyFont="1" applyBorder="1" applyAlignment="1">
      <alignment horizontal="center" vertical="center"/>
    </xf>
    <xf numFmtId="49" fontId="4" fillId="0" borderId="12" xfId="40" applyNumberFormat="1" applyFont="1" applyFill="1" applyBorder="1" applyAlignment="1">
      <alignment horizontal="center" vertical="center"/>
    </xf>
    <xf numFmtId="0" fontId="4" fillId="0" borderId="13" xfId="40" applyFont="1" applyBorder="1"/>
    <xf numFmtId="10" fontId="1" fillId="0" borderId="0" xfId="1" applyNumberFormat="1" applyFont="1"/>
    <xf numFmtId="43" fontId="7" fillId="0" borderId="13" xfId="40" applyNumberFormat="1" applyFont="1" applyBorder="1" applyAlignment="1">
      <alignment horizontal="center"/>
    </xf>
    <xf numFmtId="43" fontId="7" fillId="0" borderId="14" xfId="40" applyNumberFormat="1" applyFont="1" applyBorder="1" applyAlignment="1">
      <alignment horizontal="center"/>
    </xf>
    <xf numFmtId="0" fontId="8" fillId="0" borderId="4" xfId="40" applyFont="1" applyBorder="1"/>
    <xf numFmtId="0" fontId="1" fillId="0" borderId="0" xfId="40" applyFont="1" applyBorder="1"/>
    <xf numFmtId="0" fontId="1" fillId="0" borderId="0" xfId="40" applyFont="1" applyBorder="1" applyAlignment="1">
      <alignment horizontal="center"/>
    </xf>
    <xf numFmtId="0" fontId="1" fillId="0" borderId="5" xfId="40" applyFont="1" applyBorder="1"/>
    <xf numFmtId="14" fontId="1" fillId="0" borderId="0" xfId="40" applyNumberFormat="1"/>
    <xf numFmtId="0" fontId="1" fillId="0" borderId="0" xfId="6" applyFont="1" applyFill="1" applyBorder="1" applyAlignment="1"/>
    <xf numFmtId="0" fontId="1" fillId="0" borderId="1" xfId="6" applyFont="1" applyFill="1" applyBorder="1" applyAlignment="1"/>
    <xf numFmtId="0" fontId="1" fillId="0" borderId="2" xfId="6" applyFont="1" applyFill="1" applyBorder="1" applyAlignment="1"/>
    <xf numFmtId="0" fontId="1" fillId="0" borderId="3" xfId="6" applyFont="1" applyFill="1" applyBorder="1" applyAlignment="1"/>
    <xf numFmtId="0" fontId="1" fillId="0" borderId="4" xfId="6" applyFont="1" applyFill="1" applyBorder="1" applyAlignment="1"/>
    <xf numFmtId="0" fontId="1" fillId="0" borderId="5" xfId="6" applyFont="1" applyFill="1" applyBorder="1" applyAlignment="1"/>
    <xf numFmtId="0" fontId="1" fillId="0" borderId="12" xfId="6" applyFont="1" applyFill="1" applyBorder="1" applyAlignment="1"/>
    <xf numFmtId="0" fontId="1" fillId="0" borderId="21" xfId="6" applyFont="1" applyFill="1" applyBorder="1" applyAlignment="1"/>
    <xf numFmtId="0" fontId="1" fillId="0" borderId="22" xfId="6" applyFont="1" applyFill="1" applyBorder="1" applyAlignment="1"/>
    <xf numFmtId="0" fontId="1" fillId="0" borderId="23" xfId="6" applyFont="1" applyFill="1" applyBorder="1" applyAlignment="1"/>
    <xf numFmtId="0" fontId="4" fillId="0" borderId="22" xfId="25" applyFont="1" applyFill="1" applyBorder="1" applyAlignment="1">
      <alignment horizontal="center" vertical="center"/>
    </xf>
    <xf numFmtId="0" fontId="7" fillId="0" borderId="4" xfId="6" applyFont="1" applyFill="1" applyBorder="1" applyAlignment="1"/>
    <xf numFmtId="0" fontId="4" fillId="0" borderId="12" xfId="25" applyFont="1" applyFill="1" applyBorder="1" applyAlignment="1">
      <alignment horizontal="center" vertical="center"/>
    </xf>
    <xf numFmtId="0" fontId="7" fillId="0" borderId="29" xfId="25" applyFont="1" applyFill="1" applyBorder="1" applyAlignment="1">
      <alignment horizontal="center"/>
    </xf>
    <xf numFmtId="0" fontId="7" fillId="0" borderId="30" xfId="25" applyFont="1" applyFill="1" applyBorder="1" applyAlignment="1"/>
    <xf numFmtId="168" fontId="7" fillId="6" borderId="30" xfId="25" applyNumberFormat="1" applyFont="1" applyFill="1" applyBorder="1" applyAlignment="1">
      <alignment horizontal="center" vertical="center"/>
    </xf>
    <xf numFmtId="168" fontId="7" fillId="6" borderId="31" xfId="25" applyNumberFormat="1" applyFont="1" applyFill="1" applyBorder="1" applyAlignment="1">
      <alignment horizontal="center" vertical="center"/>
    </xf>
    <xf numFmtId="0" fontId="7" fillId="0" borderId="32" xfId="25" applyFont="1" applyFill="1" applyBorder="1" applyAlignment="1">
      <alignment horizontal="center"/>
    </xf>
    <xf numFmtId="0" fontId="7" fillId="0" borderId="33" xfId="25" applyFont="1" applyFill="1" applyBorder="1" applyAlignment="1"/>
    <xf numFmtId="168" fontId="7" fillId="6" borderId="33" xfId="25" applyNumberFormat="1" applyFont="1" applyFill="1" applyBorder="1" applyAlignment="1">
      <alignment horizontal="center" vertical="center"/>
    </xf>
    <xf numFmtId="168" fontId="7" fillId="6" borderId="34" xfId="25" applyNumberFormat="1" applyFont="1" applyFill="1" applyBorder="1" applyAlignment="1">
      <alignment horizontal="center" vertical="center"/>
    </xf>
    <xf numFmtId="0" fontId="7" fillId="0" borderId="35" xfId="25" applyFont="1" applyFill="1" applyBorder="1" applyAlignment="1">
      <alignment horizontal="center"/>
    </xf>
    <xf numFmtId="0" fontId="7" fillId="0" borderId="36" xfId="25" applyFont="1" applyFill="1" applyBorder="1" applyAlignment="1"/>
    <xf numFmtId="168" fontId="7" fillId="6" borderId="36" xfId="25" applyNumberFormat="1" applyFont="1" applyFill="1" applyBorder="1" applyAlignment="1">
      <alignment horizontal="center" vertical="center"/>
    </xf>
    <xf numFmtId="168" fontId="7" fillId="6" borderId="37" xfId="25" applyNumberFormat="1" applyFont="1" applyFill="1" applyBorder="1" applyAlignment="1">
      <alignment horizontal="center" vertical="center"/>
    </xf>
    <xf numFmtId="0" fontId="4" fillId="0" borderId="13" xfId="25" applyFont="1" applyFill="1" applyBorder="1" applyAlignment="1">
      <alignment vertical="center"/>
    </xf>
    <xf numFmtId="168" fontId="4" fillId="7" borderId="13" xfId="25" applyNumberFormat="1" applyFont="1" applyFill="1" applyBorder="1" applyAlignment="1">
      <alignment horizontal="center" vertical="center"/>
    </xf>
    <xf numFmtId="168" fontId="4" fillId="7" borderId="14" xfId="25" applyNumberFormat="1" applyFont="1" applyFill="1" applyBorder="1" applyAlignment="1">
      <alignment horizontal="center" vertical="center"/>
    </xf>
    <xf numFmtId="0" fontId="7" fillId="0" borderId="35" xfId="25" applyFont="1" applyFill="1" applyBorder="1" applyAlignment="1">
      <alignment horizontal="center" vertical="center"/>
    </xf>
    <xf numFmtId="0" fontId="7" fillId="0" borderId="36" xfId="25" applyFont="1" applyFill="1" applyBorder="1" applyAlignment="1">
      <alignment horizontal="justify" vertical="center" wrapText="1"/>
    </xf>
    <xf numFmtId="168" fontId="4" fillId="7" borderId="39" xfId="25" applyNumberFormat="1" applyFont="1" applyFill="1" applyBorder="1" applyAlignment="1">
      <alignment horizontal="center" vertical="center"/>
    </xf>
    <xf numFmtId="10" fontId="4" fillId="7" borderId="39" xfId="25" applyNumberFormat="1" applyFont="1" applyFill="1" applyBorder="1" applyAlignment="1">
      <alignment horizontal="center" vertical="center"/>
    </xf>
    <xf numFmtId="10" fontId="4" fillId="7" borderId="40" xfId="25" applyNumberFormat="1" applyFont="1" applyFill="1" applyBorder="1" applyAlignment="1">
      <alignment horizontal="center" vertical="center"/>
    </xf>
    <xf numFmtId="0" fontId="7" fillId="0" borderId="0" xfId="6" applyFont="1" applyFill="1" applyBorder="1" applyAlignment="1"/>
    <xf numFmtId="0" fontId="4" fillId="0" borderId="12" xfId="4" applyFont="1" applyBorder="1" applyAlignment="1">
      <alignment vertical="center"/>
    </xf>
    <xf numFmtId="0" fontId="4" fillId="0" borderId="4" xfId="4" applyFont="1" applyBorder="1" applyAlignment="1">
      <alignment vertical="center" wrapText="1"/>
    </xf>
    <xf numFmtId="49" fontId="9" fillId="3" borderId="4" xfId="41" applyNumberFormat="1" applyFont="1" applyFill="1" applyBorder="1" applyAlignment="1">
      <alignment horizontal="center" vertical="center"/>
    </xf>
    <xf numFmtId="49" fontId="9" fillId="3" borderId="0" xfId="41" applyNumberFormat="1" applyFont="1" applyFill="1" applyBorder="1" applyAlignment="1">
      <alignment horizontal="center" vertical="center"/>
    </xf>
    <xf numFmtId="0" fontId="10" fillId="0" borderId="0" xfId="41" applyFont="1" applyBorder="1"/>
    <xf numFmtId="0" fontId="11" fillId="3" borderId="0" xfId="41" applyFont="1" applyFill="1" applyBorder="1" applyAlignment="1">
      <alignment horizontal="center" vertical="center"/>
    </xf>
    <xf numFmtId="0" fontId="11" fillId="0" borderId="38" xfId="41" applyFont="1" applyFill="1" applyBorder="1" applyAlignment="1">
      <alignment horizontal="center" vertical="center"/>
    </xf>
    <xf numFmtId="0" fontId="1" fillId="0" borderId="0" xfId="41" applyFont="1" applyBorder="1" applyAlignment="1">
      <alignment vertical="center"/>
    </xf>
    <xf numFmtId="164" fontId="8" fillId="0" borderId="49" xfId="41" applyNumberFormat="1" applyFont="1" applyFill="1" applyBorder="1" applyAlignment="1">
      <alignment horizontal="center" vertical="center" wrapText="1"/>
    </xf>
    <xf numFmtId="0" fontId="8" fillId="0" borderId="0" xfId="41" applyFont="1" applyFill="1" applyBorder="1" applyAlignment="1">
      <alignment horizontal="justify" vertical="center" wrapText="1"/>
    </xf>
    <xf numFmtId="0" fontId="8" fillId="0" borderId="49" xfId="41" applyFont="1" applyFill="1" applyBorder="1" applyAlignment="1">
      <alignment horizontal="justify" vertical="center" wrapText="1"/>
    </xf>
    <xf numFmtId="0" fontId="1" fillId="0" borderId="12" xfId="41" applyFont="1" applyBorder="1" applyAlignment="1">
      <alignment horizontal="center" vertical="center"/>
    </xf>
    <xf numFmtId="0" fontId="1" fillId="0" borderId="13" xfId="41" applyFont="1" applyFill="1" applyBorder="1" applyAlignment="1">
      <alignment vertical="center"/>
    </xf>
    <xf numFmtId="10" fontId="1" fillId="9" borderId="14" xfId="71" applyNumberFormat="1" applyFont="1" applyFill="1" applyBorder="1" applyAlignment="1" applyProtection="1">
      <alignment horizontal="center" vertical="center"/>
      <protection locked="0"/>
    </xf>
    <xf numFmtId="10" fontId="1" fillId="0" borderId="0" xfId="71" applyNumberFormat="1" applyFont="1" applyBorder="1" applyAlignment="1">
      <alignment horizontal="center" vertical="center"/>
    </xf>
    <xf numFmtId="10" fontId="1" fillId="0" borderId="12" xfId="71" applyNumberFormat="1" applyFont="1" applyBorder="1" applyAlignment="1">
      <alignment horizontal="center" vertical="center"/>
    </xf>
    <xf numFmtId="10" fontId="8" fillId="0" borderId="40" xfId="71" applyNumberFormat="1" applyFont="1" applyBorder="1" applyAlignment="1">
      <alignment horizontal="center" vertical="center"/>
    </xf>
    <xf numFmtId="10" fontId="8" fillId="0" borderId="0" xfId="71" applyNumberFormat="1" applyFont="1" applyBorder="1" applyAlignment="1">
      <alignment horizontal="center" vertical="center"/>
    </xf>
    <xf numFmtId="10" fontId="1" fillId="0" borderId="38" xfId="71" applyNumberFormat="1" applyFont="1" applyBorder="1" applyAlignment="1">
      <alignment horizontal="center" vertical="center"/>
    </xf>
    <xf numFmtId="0" fontId="1" fillId="0" borderId="0" xfId="41" applyFont="1" applyBorder="1" applyAlignment="1">
      <alignment horizontal="center" vertical="center"/>
    </xf>
    <xf numFmtId="10" fontId="1" fillId="0" borderId="49" xfId="71" applyNumberFormat="1" applyFont="1" applyBorder="1" applyAlignment="1">
      <alignment horizontal="center" vertical="center"/>
    </xf>
    <xf numFmtId="0" fontId="1" fillId="0" borderId="56" xfId="41" applyFont="1" applyBorder="1" applyAlignment="1">
      <alignment horizontal="center" vertical="center"/>
    </xf>
    <xf numFmtId="10" fontId="1" fillId="9" borderId="61" xfId="71" applyNumberFormat="1" applyFont="1" applyFill="1" applyBorder="1" applyAlignment="1" applyProtection="1">
      <alignment horizontal="center" vertical="center"/>
      <protection locked="0"/>
    </xf>
    <xf numFmtId="10" fontId="8" fillId="0" borderId="0" xfId="71" applyNumberFormat="1" applyFont="1" applyBorder="1" applyAlignment="1">
      <alignment horizontal="center" vertical="center" wrapText="1"/>
    </xf>
    <xf numFmtId="10" fontId="1" fillId="0" borderId="64" xfId="71" applyNumberFormat="1" applyFont="1" applyBorder="1" applyAlignment="1">
      <alignment horizontal="center" vertical="center"/>
    </xf>
    <xf numFmtId="0" fontId="1" fillId="0" borderId="15" xfId="41" applyFont="1" applyFill="1" applyBorder="1" applyAlignment="1">
      <alignment vertical="center"/>
    </xf>
    <xf numFmtId="10" fontId="1" fillId="3" borderId="0" xfId="71" applyNumberFormat="1" applyFont="1" applyFill="1" applyBorder="1" applyAlignment="1">
      <alignment vertical="center"/>
    </xf>
    <xf numFmtId="10" fontId="1" fillId="0" borderId="0" xfId="71" applyNumberFormat="1" applyFont="1" applyBorder="1" applyAlignment="1">
      <alignment vertical="center"/>
    </xf>
    <xf numFmtId="0" fontId="1" fillId="0" borderId="0" xfId="41" applyFont="1" applyFill="1" applyBorder="1" applyAlignment="1">
      <alignment horizontal="center" vertical="center"/>
    </xf>
    <xf numFmtId="164" fontId="8" fillId="0" borderId="4" xfId="41" applyNumberFormat="1" applyFont="1" applyFill="1" applyBorder="1" applyAlignment="1">
      <alignment horizontal="center" vertical="center" wrapText="1"/>
    </xf>
    <xf numFmtId="164" fontId="1" fillId="0" borderId="0" xfId="41" applyNumberFormat="1" applyFont="1" applyBorder="1" applyAlignment="1">
      <alignment vertical="center"/>
    </xf>
    <xf numFmtId="0" fontId="1" fillId="0" borderId="4" xfId="41" applyFont="1" applyFill="1" applyBorder="1" applyAlignment="1">
      <alignment horizontal="center" vertical="center"/>
    </xf>
    <xf numFmtId="0" fontId="8" fillId="0" borderId="0" xfId="41" applyFont="1" applyFill="1" applyBorder="1" applyAlignment="1">
      <alignment horizontal="center" vertical="center"/>
    </xf>
    <xf numFmtId="0" fontId="1" fillId="0" borderId="4" xfId="41" applyFont="1" applyFill="1" applyBorder="1" applyAlignment="1">
      <alignment horizontal="right" vertical="center"/>
    </xf>
    <xf numFmtId="0" fontId="1" fillId="0" borderId="0" xfId="41" applyFont="1" applyFill="1" applyBorder="1" applyAlignment="1">
      <alignment horizontal="right" vertical="center"/>
    </xf>
    <xf numFmtId="165" fontId="14" fillId="0" borderId="0" xfId="71" applyNumberFormat="1" applyFont="1" applyBorder="1" applyAlignment="1">
      <alignment vertical="center"/>
    </xf>
    <xf numFmtId="10" fontId="4" fillId="0" borderId="0" xfId="41" applyNumberFormat="1" applyFont="1" applyFill="1" applyBorder="1" applyAlignment="1">
      <alignment vertical="center"/>
    </xf>
    <xf numFmtId="10" fontId="4" fillId="0" borderId="19" xfId="41" applyNumberFormat="1" applyFont="1" applyFill="1" applyBorder="1" applyAlignment="1">
      <alignment vertical="center"/>
    </xf>
    <xf numFmtId="10" fontId="1" fillId="0" borderId="19" xfId="71" applyNumberFormat="1" applyFont="1" applyBorder="1" applyAlignment="1">
      <alignment vertical="center"/>
    </xf>
    <xf numFmtId="0" fontId="1" fillId="0" borderId="0" xfId="4"/>
    <xf numFmtId="0" fontId="10" fillId="0" borderId="5" xfId="41" applyFont="1" applyBorder="1"/>
    <xf numFmtId="0" fontId="11" fillId="0" borderId="40" xfId="41" applyFont="1" applyFill="1" applyBorder="1" applyAlignment="1">
      <alignment horizontal="center" vertical="center"/>
    </xf>
    <xf numFmtId="0" fontId="10" fillId="0" borderId="68" xfId="41" applyFont="1" applyBorder="1"/>
    <xf numFmtId="10" fontId="1" fillId="0" borderId="14" xfId="71" applyNumberFormat="1" applyFont="1" applyBorder="1" applyAlignment="1">
      <alignment horizontal="center" vertical="center"/>
    </xf>
    <xf numFmtId="10" fontId="1" fillId="0" borderId="12" xfId="71" applyNumberFormat="1" applyFont="1" applyFill="1" applyBorder="1" applyAlignment="1" applyProtection="1">
      <alignment horizontal="center" vertical="center"/>
    </xf>
    <xf numFmtId="10" fontId="1" fillId="0" borderId="40" xfId="71" applyNumberFormat="1" applyFont="1" applyBorder="1" applyAlignment="1">
      <alignment horizontal="center" vertical="center"/>
    </xf>
    <xf numFmtId="10" fontId="1" fillId="0" borderId="5" xfId="71" applyNumberFormat="1" applyFont="1" applyBorder="1" applyAlignment="1">
      <alignment horizontal="center" vertical="center"/>
    </xf>
    <xf numFmtId="10" fontId="1" fillId="0" borderId="68" xfId="71" applyNumberFormat="1" applyFont="1" applyBorder="1" applyAlignment="1">
      <alignment horizontal="center" vertical="center"/>
    </xf>
    <xf numFmtId="10" fontId="1" fillId="0" borderId="69" xfId="71" applyNumberFormat="1" applyFont="1" applyBorder="1" applyAlignment="1">
      <alignment horizontal="center" vertical="center"/>
    </xf>
    <xf numFmtId="10" fontId="1" fillId="3" borderId="5" xfId="71" applyNumberFormat="1" applyFont="1" applyFill="1" applyBorder="1" applyAlignment="1">
      <alignment vertical="center"/>
    </xf>
    <xf numFmtId="10" fontId="1" fillId="0" borderId="5" xfId="71" applyNumberFormat="1" applyFont="1" applyBorder="1" applyAlignment="1">
      <alignment vertical="center"/>
    </xf>
    <xf numFmtId="10" fontId="1" fillId="0" borderId="20" xfId="71" applyNumberFormat="1" applyFont="1" applyBorder="1" applyAlignment="1">
      <alignment vertical="center"/>
    </xf>
    <xf numFmtId="4" fontId="0" fillId="0" borderId="0" xfId="0" applyNumberFormat="1"/>
    <xf numFmtId="49" fontId="2" fillId="0" borderId="1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vertical="top" wrapText="1"/>
    </xf>
    <xf numFmtId="49" fontId="2" fillId="0" borderId="24" xfId="0" applyNumberFormat="1" applyFont="1" applyBorder="1" applyAlignment="1">
      <alignment vertical="top" wrapText="1"/>
    </xf>
    <xf numFmtId="49" fontId="16" fillId="0" borderId="25" xfId="0" applyNumberFormat="1" applyFont="1" applyBorder="1" applyAlignment="1">
      <alignment horizontal="left" vertical="top" wrapText="1"/>
    </xf>
    <xf numFmtId="0" fontId="0" fillId="0" borderId="26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0" xfId="0" applyFont="1" applyBorder="1"/>
    <xf numFmtId="0" fontId="18" fillId="0" borderId="0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5" fillId="5" borderId="71" xfId="0" applyFont="1" applyFill="1" applyBorder="1" applyAlignment="1">
      <alignment horizontal="center" vertical="top" wrapText="1"/>
    </xf>
    <xf numFmtId="0" fontId="5" fillId="5" borderId="72" xfId="0" applyFont="1" applyFill="1" applyBorder="1" applyAlignment="1">
      <alignment horizontal="center" vertical="top" wrapText="1"/>
    </xf>
    <xf numFmtId="4" fontId="5" fillId="5" borderId="72" xfId="0" applyNumberFormat="1" applyFont="1" applyFill="1" applyBorder="1" applyAlignment="1">
      <alignment horizontal="center" vertical="top" wrapText="1"/>
    </xf>
    <xf numFmtId="0" fontId="5" fillId="5" borderId="73" xfId="0" applyFont="1" applyFill="1" applyBorder="1" applyAlignment="1">
      <alignment horizontal="center" vertical="top" wrapText="1"/>
    </xf>
    <xf numFmtId="0" fontId="19" fillId="10" borderId="74" xfId="0" applyFont="1" applyFill="1" applyBorder="1" applyAlignment="1">
      <alignment horizontal="left" vertical="top" wrapText="1"/>
    </xf>
    <xf numFmtId="0" fontId="19" fillId="10" borderId="75" xfId="0" applyFont="1" applyFill="1" applyBorder="1" applyAlignment="1">
      <alignment horizontal="left" vertical="top" wrapText="1"/>
    </xf>
    <xf numFmtId="0" fontId="19" fillId="10" borderId="75" xfId="0" applyFont="1" applyFill="1" applyBorder="1" applyAlignment="1">
      <alignment horizontal="center" vertical="top" wrapText="1"/>
    </xf>
    <xf numFmtId="4" fontId="19" fillId="10" borderId="75" xfId="0" applyNumberFormat="1" applyFont="1" applyFill="1" applyBorder="1" applyAlignment="1">
      <alignment horizontal="right" vertical="top" wrapText="1"/>
    </xf>
    <xf numFmtId="0" fontId="19" fillId="10" borderId="76" xfId="0" applyFont="1" applyFill="1" applyBorder="1" applyAlignment="1">
      <alignment horizontal="left" vertical="top" wrapText="1"/>
    </xf>
    <xf numFmtId="0" fontId="20" fillId="11" borderId="74" xfId="0" applyFont="1" applyFill="1" applyBorder="1" applyAlignment="1">
      <alignment horizontal="left" vertical="top" wrapText="1"/>
    </xf>
    <xf numFmtId="0" fontId="20" fillId="11" borderId="75" xfId="0" applyFont="1" applyFill="1" applyBorder="1" applyAlignment="1">
      <alignment horizontal="left" vertical="top" wrapText="1"/>
    </xf>
    <xf numFmtId="0" fontId="20" fillId="11" borderId="75" xfId="0" applyFont="1" applyFill="1" applyBorder="1" applyAlignment="1">
      <alignment horizontal="center" vertical="top" wrapText="1"/>
    </xf>
    <xf numFmtId="4" fontId="20" fillId="11" borderId="75" xfId="0" applyNumberFormat="1" applyFont="1" applyFill="1" applyBorder="1" applyAlignment="1">
      <alignment horizontal="right" vertical="top" wrapText="1"/>
    </xf>
    <xf numFmtId="0" fontId="20" fillId="11" borderId="76" xfId="0" applyFont="1" applyFill="1" applyBorder="1" applyAlignment="1">
      <alignment horizontal="left" vertical="top" wrapText="1"/>
    </xf>
    <xf numFmtId="0" fontId="0" fillId="0" borderId="13" xfId="0" applyBorder="1"/>
    <xf numFmtId="0" fontId="0" fillId="0" borderId="16" xfId="0" applyBorder="1" applyAlignment="1">
      <alignment vertical="center"/>
    </xf>
    <xf numFmtId="0" fontId="0" fillId="0" borderId="0" xfId="0" applyFill="1" applyBorder="1"/>
    <xf numFmtId="0" fontId="0" fillId="0" borderId="17" xfId="0" applyBorder="1" applyAlignment="1">
      <alignment vertical="center"/>
    </xf>
    <xf numFmtId="0" fontId="1" fillId="5" borderId="0" xfId="0" applyFont="1" applyFill="1" applyAlignment="1">
      <alignment horizontal="center" vertical="top" wrapText="1"/>
    </xf>
    <xf numFmtId="4" fontId="8" fillId="5" borderId="0" xfId="0" applyNumberFormat="1" applyFont="1" applyFill="1" applyAlignment="1">
      <alignment horizontal="right" vertical="top" wrapText="1"/>
    </xf>
    <xf numFmtId="0" fontId="8" fillId="5" borderId="0" xfId="0" applyFont="1" applyFill="1" applyAlignment="1">
      <alignment horizontal="center" vertical="top" wrapText="1"/>
    </xf>
    <xf numFmtId="0" fontId="8" fillId="5" borderId="0" xfId="0" applyFont="1" applyFill="1" applyBorder="1" applyAlignment="1">
      <alignment horizontal="right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4" fontId="8" fillId="5" borderId="0" xfId="0" applyNumberFormat="1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0" fillId="0" borderId="0" xfId="0" applyAlignment="1"/>
    <xf numFmtId="0" fontId="1" fillId="0" borderId="0" xfId="33" applyAlignment="1">
      <alignment vertical="center"/>
    </xf>
    <xf numFmtId="0" fontId="0" fillId="0" borderId="4" xfId="33" applyFont="1" applyBorder="1"/>
    <xf numFmtId="0" fontId="0" fillId="0" borderId="0" xfId="33" applyFont="1" applyBorder="1"/>
    <xf numFmtId="4" fontId="0" fillId="0" borderId="0" xfId="33" applyNumberFormat="1" applyFont="1" applyBorder="1"/>
    <xf numFmtId="0" fontId="1" fillId="0" borderId="0" xfId="33" applyBorder="1" applyAlignment="1">
      <alignment vertical="center"/>
    </xf>
    <xf numFmtId="0" fontId="1" fillId="0" borderId="0" xfId="33" applyBorder="1"/>
    <xf numFmtId="0" fontId="8" fillId="0" borderId="4" xfId="33" applyFont="1" applyBorder="1" applyAlignment="1">
      <alignment horizontal="left" vertical="top"/>
    </xf>
    <xf numFmtId="0" fontId="8" fillId="0" borderId="0" xfId="33" applyFont="1" applyBorder="1" applyAlignment="1">
      <alignment vertical="top" wrapText="1"/>
    </xf>
    <xf numFmtId="0" fontId="8" fillId="0" borderId="0" xfId="33" applyFont="1" applyBorder="1"/>
    <xf numFmtId="0" fontId="8" fillId="0" borderId="0" xfId="33" applyFont="1" applyBorder="1" applyAlignment="1">
      <alignment vertical="center"/>
    </xf>
    <xf numFmtId="0" fontId="8" fillId="0" borderId="4" xfId="33" applyFont="1" applyBorder="1" applyAlignment="1">
      <alignment vertical="top"/>
    </xf>
    <xf numFmtId="0" fontId="8" fillId="0" borderId="0" xfId="33" applyFont="1" applyBorder="1" applyAlignment="1">
      <alignment wrapText="1"/>
    </xf>
    <xf numFmtId="0" fontId="22" fillId="0" borderId="4" xfId="33" applyFont="1" applyBorder="1" applyAlignment="1">
      <alignment horizontal="center" vertical="center"/>
    </xf>
    <xf numFmtId="0" fontId="22" fillId="0" borderId="0" xfId="33" applyFont="1" applyBorder="1" applyAlignment="1">
      <alignment horizontal="center" vertical="center"/>
    </xf>
    <xf numFmtId="0" fontId="23" fillId="0" borderId="4" xfId="33" applyFont="1" applyBorder="1" applyAlignment="1">
      <alignment vertical="center"/>
    </xf>
    <xf numFmtId="0" fontId="23" fillId="0" borderId="0" xfId="33" applyFont="1" applyBorder="1" applyAlignment="1">
      <alignment vertical="center"/>
    </xf>
    <xf numFmtId="0" fontId="24" fillId="0" borderId="0" xfId="33" applyFont="1" applyBorder="1" applyAlignment="1">
      <alignment vertical="center"/>
    </xf>
    <xf numFmtId="0" fontId="18" fillId="0" borderId="0" xfId="33" applyFont="1" applyBorder="1" applyAlignment="1">
      <alignment vertical="center"/>
    </xf>
    <xf numFmtId="0" fontId="23" fillId="0" borderId="4" xfId="33" applyFont="1" applyBorder="1"/>
    <xf numFmtId="0" fontId="23" fillId="0" borderId="0" xfId="33" applyFont="1" applyBorder="1"/>
    <xf numFmtId="2" fontId="24" fillId="3" borderId="0" xfId="33" applyNumberFormat="1" applyFont="1" applyFill="1" applyBorder="1"/>
    <xf numFmtId="2" fontId="23" fillId="3" borderId="0" xfId="33" applyNumberFormat="1" applyFont="1" applyFill="1" applyBorder="1"/>
    <xf numFmtId="2" fontId="24" fillId="0" borderId="79" xfId="33" applyNumberFormat="1" applyFont="1" applyBorder="1" applyAlignment="1">
      <alignment horizontal="center" vertical="center"/>
    </xf>
    <xf numFmtId="0" fontId="1" fillId="0" borderId="4" xfId="33" applyBorder="1"/>
    <xf numFmtId="2" fontId="23" fillId="0" borderId="0" xfId="33" applyNumberFormat="1" applyFont="1" applyBorder="1"/>
    <xf numFmtId="0" fontId="24" fillId="0" borderId="0" xfId="33" applyFont="1" applyBorder="1"/>
    <xf numFmtId="0" fontId="0" fillId="0" borderId="18" xfId="33" applyFont="1" applyBorder="1"/>
    <xf numFmtId="0" fontId="1" fillId="0" borderId="19" xfId="33" applyBorder="1"/>
    <xf numFmtId="0" fontId="0" fillId="0" borderId="19" xfId="33" applyFont="1" applyBorder="1"/>
    <xf numFmtId="0" fontId="1" fillId="0" borderId="5" xfId="33" applyBorder="1"/>
    <xf numFmtId="4" fontId="8" fillId="0" borderId="5" xfId="33" applyNumberFormat="1" applyFont="1" applyBorder="1"/>
    <xf numFmtId="0" fontId="1" fillId="0" borderId="20" xfId="33" applyBorder="1"/>
    <xf numFmtId="0" fontId="1" fillId="0" borderId="1" xfId="33" applyBorder="1"/>
    <xf numFmtId="0" fontId="1" fillId="0" borderId="2" xfId="33" applyBorder="1"/>
    <xf numFmtId="0" fontId="1" fillId="0" borderId="3" xfId="33" applyBorder="1"/>
    <xf numFmtId="0" fontId="4" fillId="0" borderId="4" xfId="33" applyFont="1" applyBorder="1" applyAlignment="1">
      <alignment horizontal="center" vertical="center"/>
    </xf>
    <xf numFmtId="0" fontId="4" fillId="0" borderId="0" xfId="33" applyFont="1" applyBorder="1" applyAlignment="1">
      <alignment horizontal="center" vertical="center"/>
    </xf>
    <xf numFmtId="0" fontId="8" fillId="0" borderId="4" xfId="33" applyFont="1" applyBorder="1"/>
    <xf numFmtId="0" fontId="1" fillId="0" borderId="80" xfId="33" applyBorder="1"/>
    <xf numFmtId="0" fontId="25" fillId="12" borderId="56" xfId="47" applyFont="1" applyFill="1" applyBorder="1" applyAlignment="1">
      <alignment horizontal="center" vertical="center" wrapText="1"/>
    </xf>
    <xf numFmtId="0" fontId="25" fillId="12" borderId="15" xfId="47" applyFont="1" applyFill="1" applyBorder="1" applyAlignment="1">
      <alignment horizontal="center" vertical="center" wrapText="1"/>
    </xf>
    <xf numFmtId="169" fontId="25" fillId="12" borderId="15" xfId="8" applyNumberFormat="1" applyFont="1" applyFill="1" applyBorder="1" applyAlignment="1">
      <alignment horizontal="center" vertical="center" wrapText="1"/>
    </xf>
    <xf numFmtId="169" fontId="25" fillId="12" borderId="61" xfId="8" applyNumberFormat="1" applyFont="1" applyFill="1" applyBorder="1" applyAlignment="1">
      <alignment horizontal="center" vertical="center" wrapText="1"/>
    </xf>
    <xf numFmtId="0" fontId="25" fillId="12" borderId="62" xfId="47" applyFont="1" applyFill="1" applyBorder="1" applyAlignment="1">
      <alignment horizontal="center" vertical="center" wrapText="1"/>
    </xf>
    <xf numFmtId="0" fontId="25" fillId="12" borderId="17" xfId="47" applyFont="1" applyFill="1" applyBorder="1" applyAlignment="1">
      <alignment horizontal="center" vertical="center" wrapText="1"/>
    </xf>
    <xf numFmtId="169" fontId="25" fillId="12" borderId="17" xfId="8" applyNumberFormat="1" applyFont="1" applyFill="1" applyBorder="1" applyAlignment="1">
      <alignment horizontal="center" vertical="center" wrapText="1"/>
    </xf>
    <xf numFmtId="169" fontId="25" fillId="12" borderId="63" xfId="8" applyNumberFormat="1" applyFont="1" applyFill="1" applyBorder="1" applyAlignment="1">
      <alignment horizontal="center" vertical="center" wrapText="1"/>
    </xf>
    <xf numFmtId="0" fontId="26" fillId="13" borderId="12" xfId="47" applyFont="1" applyFill="1" applyBorder="1" applyAlignment="1">
      <alignment horizontal="center" vertical="center" wrapText="1"/>
    </xf>
    <xf numFmtId="0" fontId="27" fillId="0" borderId="13" xfId="47" applyFont="1" applyFill="1" applyBorder="1" applyAlignment="1">
      <alignment horizontal="center" vertical="center" wrapText="1"/>
    </xf>
    <xf numFmtId="0" fontId="27" fillId="0" borderId="13" xfId="47" applyFont="1" applyFill="1" applyBorder="1" applyAlignment="1">
      <alignment horizontal="justify" vertical="center" wrapText="1"/>
    </xf>
    <xf numFmtId="169" fontId="27" fillId="0" borderId="13" xfId="8" applyNumberFormat="1" applyFont="1" applyFill="1" applyBorder="1" applyAlignment="1">
      <alignment horizontal="center" vertical="center" wrapText="1"/>
    </xf>
    <xf numFmtId="169" fontId="27" fillId="14" borderId="13" xfId="8" applyNumberFormat="1" applyFont="1" applyFill="1" applyBorder="1" applyAlignment="1">
      <alignment horizontal="center" vertical="center" wrapText="1"/>
    </xf>
    <xf numFmtId="167" fontId="27" fillId="0" borderId="14" xfId="8" applyNumberFormat="1" applyFont="1" applyFill="1" applyBorder="1" applyAlignment="1">
      <alignment horizontal="center" vertical="center" wrapText="1"/>
    </xf>
    <xf numFmtId="0" fontId="28" fillId="0" borderId="81" xfId="33" applyFont="1" applyBorder="1" applyAlignment="1">
      <alignment horizontal="center" vertical="center"/>
    </xf>
    <xf numFmtId="0" fontId="28" fillId="0" borderId="82" xfId="33" applyFont="1" applyBorder="1" applyAlignment="1">
      <alignment horizontal="center" vertical="center"/>
    </xf>
    <xf numFmtId="170" fontId="29" fillId="0" borderId="31" xfId="33" applyNumberFormat="1" applyFont="1" applyFill="1" applyBorder="1" applyAlignment="1">
      <alignment horizontal="center" vertical="center"/>
    </xf>
    <xf numFmtId="0" fontId="28" fillId="0" borderId="84" xfId="33" applyFont="1" applyBorder="1" applyAlignment="1">
      <alignment horizontal="center" vertical="center"/>
    </xf>
    <xf numFmtId="0" fontId="28" fillId="0" borderId="85" xfId="33" applyFont="1" applyBorder="1" applyAlignment="1">
      <alignment horizontal="center" vertical="center"/>
    </xf>
    <xf numFmtId="10" fontId="29" fillId="0" borderId="85" xfId="25" applyNumberFormat="1" applyFont="1" applyBorder="1" applyAlignment="1">
      <alignment vertical="center"/>
    </xf>
    <xf numFmtId="0" fontId="29" fillId="0" borderId="85" xfId="25" applyFont="1" applyBorder="1" applyAlignment="1">
      <alignment horizontal="right" vertical="center"/>
    </xf>
    <xf numFmtId="10" fontId="29" fillId="0" borderId="86" xfId="25" applyNumberFormat="1" applyFont="1" applyBorder="1" applyAlignment="1">
      <alignment horizontal="right" vertical="center"/>
    </xf>
    <xf numFmtId="170" fontId="29" fillId="0" borderId="87" xfId="25" applyNumberFormat="1" applyFont="1" applyFill="1" applyBorder="1" applyAlignment="1">
      <alignment horizontal="center" vertical="center"/>
    </xf>
    <xf numFmtId="0" fontId="28" fillId="0" borderId="88" xfId="33" applyFont="1" applyBorder="1" applyAlignment="1">
      <alignment horizontal="center" vertical="center"/>
    </xf>
    <xf numFmtId="0" fontId="28" fillId="0" borderId="89" xfId="33" applyFont="1" applyBorder="1" applyAlignment="1">
      <alignment horizontal="center" vertical="center"/>
    </xf>
    <xf numFmtId="0" fontId="29" fillId="0" borderId="89" xfId="25" applyFont="1" applyBorder="1" applyAlignment="1">
      <alignment horizontal="right" vertical="center"/>
    </xf>
    <xf numFmtId="10" fontId="29" fillId="0" borderId="90" xfId="25" applyNumberFormat="1" applyFont="1" applyBorder="1" applyAlignment="1">
      <alignment horizontal="right" vertical="center"/>
    </xf>
    <xf numFmtId="170" fontId="29" fillId="0" borderId="91" xfId="25" applyNumberFormat="1" applyFont="1" applyFill="1" applyBorder="1" applyAlignment="1">
      <alignment horizontal="center" vertical="center"/>
    </xf>
    <xf numFmtId="0" fontId="28" fillId="4" borderId="27" xfId="33" applyFont="1" applyFill="1" applyBorder="1" applyAlignment="1">
      <alignment horizontal="center" vertical="center"/>
    </xf>
    <xf numFmtId="0" fontId="28" fillId="4" borderId="22" xfId="33" applyFont="1" applyFill="1" applyBorder="1" applyAlignment="1">
      <alignment horizontal="center" vertical="center"/>
    </xf>
    <xf numFmtId="0" fontId="30" fillId="12" borderId="22" xfId="47" applyFont="1" applyFill="1" applyBorder="1" applyAlignment="1">
      <alignment horizontal="center" vertical="center" wrapText="1"/>
    </xf>
    <xf numFmtId="170" fontId="29" fillId="4" borderId="14" xfId="25" applyNumberFormat="1" applyFont="1" applyFill="1" applyBorder="1" applyAlignment="1">
      <alignment horizontal="center" vertical="center"/>
    </xf>
    <xf numFmtId="0" fontId="25" fillId="12" borderId="15" xfId="47" applyFont="1" applyFill="1" applyBorder="1" applyAlignment="1">
      <alignment horizontal="justify" vertical="center" wrapText="1"/>
    </xf>
    <xf numFmtId="0" fontId="25" fillId="12" borderId="17" xfId="47" applyFont="1" applyFill="1" applyBorder="1" applyAlignment="1">
      <alignment horizontal="justify" vertical="center" wrapText="1"/>
    </xf>
    <xf numFmtId="0" fontId="0" fillId="0" borderId="13" xfId="33" applyFont="1" applyFill="1" applyBorder="1" applyAlignment="1">
      <alignment horizontal="center" vertical="center"/>
    </xf>
    <xf numFmtId="0" fontId="26" fillId="13" borderId="35" xfId="47" applyFont="1" applyFill="1" applyBorder="1" applyAlignment="1">
      <alignment horizontal="center" vertical="center" wrapText="1"/>
    </xf>
    <xf numFmtId="0" fontId="27" fillId="0" borderId="16" xfId="47" applyFont="1" applyFill="1" applyBorder="1" applyAlignment="1">
      <alignment horizontal="center" vertical="center" wrapText="1"/>
    </xf>
    <xf numFmtId="0" fontId="27" fillId="0" borderId="16" xfId="47" applyFont="1" applyFill="1" applyBorder="1" applyAlignment="1">
      <alignment horizontal="justify" vertical="center" wrapText="1"/>
    </xf>
    <xf numFmtId="169" fontId="27" fillId="0" borderId="16" xfId="8" applyNumberFormat="1" applyFont="1" applyFill="1" applyBorder="1" applyAlignment="1">
      <alignment horizontal="center" vertical="center" wrapText="1"/>
    </xf>
    <xf numFmtId="169" fontId="27" fillId="14" borderId="16" xfId="8" applyNumberFormat="1" applyFont="1" applyFill="1" applyBorder="1" applyAlignment="1">
      <alignment horizontal="center" vertical="center" wrapText="1"/>
    </xf>
    <xf numFmtId="167" fontId="27" fillId="0" borderId="92" xfId="8" applyNumberFormat="1" applyFont="1" applyFill="1" applyBorder="1" applyAlignment="1">
      <alignment horizontal="center" vertical="center" wrapText="1"/>
    </xf>
    <xf numFmtId="0" fontId="28" fillId="0" borderId="81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 vertical="center"/>
    </xf>
    <xf numFmtId="170" fontId="29" fillId="0" borderId="31" xfId="21" applyNumberFormat="1" applyFont="1" applyFill="1" applyBorder="1" applyAlignment="1">
      <alignment horizontal="center" vertical="center"/>
    </xf>
    <xf numFmtId="0" fontId="28" fillId="0" borderId="84" xfId="0" applyFont="1" applyBorder="1" applyAlignment="1">
      <alignment horizontal="center" vertical="center"/>
    </xf>
    <xf numFmtId="0" fontId="28" fillId="0" borderId="85" xfId="0" applyFont="1" applyBorder="1" applyAlignment="1">
      <alignment horizontal="center" vertical="center"/>
    </xf>
    <xf numFmtId="0" fontId="28" fillId="0" borderId="88" xfId="0" applyFont="1" applyBorder="1" applyAlignment="1">
      <alignment horizontal="center" vertical="center"/>
    </xf>
    <xf numFmtId="0" fontId="28" fillId="0" borderId="89" xfId="0" applyFont="1" applyBorder="1" applyAlignment="1">
      <alignment horizontal="center" vertical="center"/>
    </xf>
    <xf numFmtId="0" fontId="1" fillId="0" borderId="57" xfId="33" applyBorder="1"/>
    <xf numFmtId="0" fontId="1" fillId="0" borderId="25" xfId="33" applyBorder="1"/>
    <xf numFmtId="0" fontId="1" fillId="0" borderId="93" xfId="33" applyBorder="1"/>
    <xf numFmtId="0" fontId="4" fillId="0" borderId="93" xfId="33" applyFont="1" applyBorder="1" applyAlignment="1">
      <alignment horizontal="center" vertical="center"/>
    </xf>
    <xf numFmtId="0" fontId="4" fillId="0" borderId="80" xfId="33" applyFont="1" applyBorder="1" applyAlignment="1">
      <alignment horizontal="center" vertical="center"/>
    </xf>
    <xf numFmtId="10" fontId="5" fillId="0" borderId="95" xfId="33" applyNumberFormat="1" applyFont="1" applyBorder="1" applyAlignment="1">
      <alignment vertical="center"/>
    </xf>
    <xf numFmtId="10" fontId="5" fillId="0" borderId="13" xfId="33" applyNumberFormat="1" applyFont="1" applyBorder="1" applyAlignment="1">
      <alignment vertical="center"/>
    </xf>
    <xf numFmtId="0" fontId="8" fillId="0" borderId="0" xfId="33" applyFont="1"/>
    <xf numFmtId="0" fontId="31" fillId="15" borderId="13" xfId="47" applyFont="1" applyFill="1" applyBorder="1" applyAlignment="1">
      <alignment horizontal="center" vertical="center" wrapText="1"/>
    </xf>
    <xf numFmtId="0" fontId="31" fillId="15" borderId="13" xfId="47" applyFont="1" applyFill="1" applyBorder="1" applyAlignment="1">
      <alignment horizontal="left" vertical="center" wrapText="1"/>
    </xf>
    <xf numFmtId="171" fontId="31" fillId="15" borderId="13" xfId="12" applyNumberFormat="1" applyFont="1" applyFill="1" applyBorder="1" applyAlignment="1">
      <alignment horizontal="center" vertical="center" wrapText="1"/>
    </xf>
    <xf numFmtId="0" fontId="32" fillId="13" borderId="13" xfId="47" applyFont="1" applyFill="1" applyBorder="1" applyAlignment="1">
      <alignment horizontal="center" vertical="center" wrapText="1"/>
    </xf>
    <xf numFmtId="0" fontId="32" fillId="13" borderId="13" xfId="47" applyFont="1" applyFill="1" applyBorder="1" applyAlignment="1">
      <alignment horizontal="left" vertical="center" wrapText="1"/>
    </xf>
    <xf numFmtId="171" fontId="32" fillId="13" borderId="13" xfId="12" applyNumberFormat="1" applyFont="1" applyFill="1" applyBorder="1" applyAlignment="1">
      <alignment horizontal="center" vertical="center" wrapText="1"/>
    </xf>
    <xf numFmtId="2" fontId="32" fillId="14" borderId="13" xfId="12" applyNumberFormat="1" applyFont="1" applyFill="1" applyBorder="1" applyAlignment="1">
      <alignment horizontal="center" vertical="center" wrapText="1"/>
    </xf>
    <xf numFmtId="2" fontId="32" fillId="13" borderId="13" xfId="12" applyNumberFormat="1" applyFont="1" applyFill="1" applyBorder="1" applyAlignment="1">
      <alignment horizontal="center" vertical="center" wrapText="1"/>
    </xf>
    <xf numFmtId="4" fontId="33" fillId="0" borderId="13" xfId="33" applyNumberFormat="1" applyFont="1" applyFill="1" applyBorder="1" applyAlignment="1">
      <alignment horizontal="right" vertical="center"/>
    </xf>
    <xf numFmtId="4" fontId="33" fillId="0" borderId="13" xfId="33" applyNumberFormat="1" applyFont="1" applyBorder="1" applyAlignment="1">
      <alignment horizontal="right" vertical="center"/>
    </xf>
    <xf numFmtId="4" fontId="33" fillId="3" borderId="13" xfId="33" applyNumberFormat="1" applyFont="1" applyFill="1" applyBorder="1" applyAlignment="1">
      <alignment horizontal="right" vertical="center"/>
    </xf>
    <xf numFmtId="4" fontId="34" fillId="16" borderId="13" xfId="33" applyNumberFormat="1" applyFont="1" applyFill="1" applyBorder="1" applyAlignment="1">
      <alignment horizontal="right" vertical="center"/>
    </xf>
    <xf numFmtId="0" fontId="32" fillId="17" borderId="13" xfId="47" applyFont="1" applyFill="1" applyBorder="1" applyAlignment="1">
      <alignment horizontal="center" vertical="center" wrapText="1"/>
    </xf>
    <xf numFmtId="4" fontId="32" fillId="13" borderId="13" xfId="47" applyNumberFormat="1" applyFont="1" applyFill="1" applyBorder="1" applyAlignment="1">
      <alignment horizontal="center" vertical="center" wrapText="1"/>
    </xf>
    <xf numFmtId="0" fontId="1" fillId="0" borderId="100" xfId="33" applyBorder="1"/>
    <xf numFmtId="0" fontId="1" fillId="0" borderId="10" xfId="33" applyBorder="1"/>
    <xf numFmtId="166" fontId="32" fillId="13" borderId="13" xfId="47" applyNumberFormat="1" applyFont="1" applyFill="1" applyBorder="1" applyAlignment="1">
      <alignment horizontal="center" vertical="center" wrapText="1"/>
    </xf>
    <xf numFmtId="10" fontId="0" fillId="0" borderId="0" xfId="48" applyNumberFormat="1" applyFont="1"/>
    <xf numFmtId="0" fontId="0" fillId="0" borderId="0" xfId="0" applyAlignment="1">
      <alignment vertical="center"/>
    </xf>
    <xf numFmtId="49" fontId="2" fillId="0" borderId="2" xfId="0" applyNumberFormat="1" applyFont="1" applyBorder="1" applyAlignment="1">
      <alignment vertical="top" wrapText="1"/>
    </xf>
    <xf numFmtId="49" fontId="2" fillId="0" borderId="0" xfId="0" applyNumberFormat="1" applyFont="1" applyBorder="1" applyAlignment="1">
      <alignment vertical="top" wrapText="1"/>
    </xf>
    <xf numFmtId="0" fontId="8" fillId="0" borderId="4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/>
    <xf numFmtId="0" fontId="8" fillId="0" borderId="0" xfId="0" applyFont="1" applyBorder="1" applyAlignment="1">
      <alignment vertical="center"/>
    </xf>
    <xf numFmtId="172" fontId="0" fillId="0" borderId="0" xfId="0" applyNumberFormat="1" applyBorder="1" applyAlignment="1">
      <alignment vertical="center"/>
    </xf>
    <xf numFmtId="0" fontId="8" fillId="0" borderId="4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72" fontId="8" fillId="0" borderId="0" xfId="0" applyNumberFormat="1" applyFont="1" applyBorder="1" applyAlignment="1">
      <alignment vertical="top"/>
    </xf>
    <xf numFmtId="10" fontId="8" fillId="0" borderId="0" xfId="0" applyNumberFormat="1" applyFont="1" applyBorder="1" applyAlignment="1">
      <alignment horizontal="left" wrapText="1"/>
    </xf>
    <xf numFmtId="10" fontId="8" fillId="0" borderId="0" xfId="1" applyNumberFormat="1" applyFont="1" applyBorder="1" applyAlignment="1">
      <alignment horizontal="left" wrapText="1"/>
    </xf>
    <xf numFmtId="172" fontId="0" fillId="0" borderId="0" xfId="4" applyNumberFormat="1" applyFont="1" applyBorder="1"/>
    <xf numFmtId="0" fontId="4" fillId="0" borderId="0" xfId="4" applyNumberFormat="1" applyFont="1" applyBorder="1" applyAlignment="1">
      <alignment horizontal="justify" vertical="center" wrapText="1"/>
    </xf>
    <xf numFmtId="172" fontId="4" fillId="0" borderId="0" xfId="4" applyNumberFormat="1" applyFont="1" applyBorder="1" applyAlignment="1">
      <alignment horizontal="justify" vertical="center" wrapText="1"/>
    </xf>
    <xf numFmtId="0" fontId="8" fillId="0" borderId="4" xfId="4" applyFont="1" applyBorder="1"/>
    <xf numFmtId="0" fontId="5" fillId="5" borderId="12" xfId="0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horizontal="right" vertical="top" wrapText="1"/>
    </xf>
    <xf numFmtId="0" fontId="5" fillId="5" borderId="13" xfId="0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horizontal="center" vertical="top" wrapText="1"/>
    </xf>
    <xf numFmtId="0" fontId="19" fillId="10" borderId="12" xfId="0" applyFont="1" applyFill="1" applyBorder="1" applyAlignment="1">
      <alignment horizontal="left" vertical="top" wrapText="1"/>
    </xf>
    <xf numFmtId="0" fontId="19" fillId="10" borderId="13" xfId="0" applyFont="1" applyFill="1" applyBorder="1" applyAlignment="1">
      <alignment horizontal="left" vertical="top" wrapText="1"/>
    </xf>
    <xf numFmtId="0" fontId="19" fillId="10" borderId="13" xfId="0" applyFont="1" applyFill="1" applyBorder="1" applyAlignment="1">
      <alignment horizontal="right" vertical="top" wrapText="1"/>
    </xf>
    <xf numFmtId="0" fontId="20" fillId="11" borderId="12" xfId="0" applyFont="1" applyFill="1" applyBorder="1" applyAlignment="1">
      <alignment horizontal="left" vertical="top" wrapText="1"/>
    </xf>
    <xf numFmtId="0" fontId="20" fillId="11" borderId="13" xfId="0" applyFont="1" applyFill="1" applyBorder="1" applyAlignment="1">
      <alignment horizontal="right" vertical="top" wrapText="1"/>
    </xf>
    <xf numFmtId="0" fontId="20" fillId="11" borderId="13" xfId="0" applyFont="1" applyFill="1" applyBorder="1" applyAlignment="1">
      <alignment horizontal="left" vertical="top" wrapText="1"/>
    </xf>
    <xf numFmtId="0" fontId="20" fillId="11" borderId="13" xfId="0" applyFont="1" applyFill="1" applyBorder="1" applyAlignment="1">
      <alignment horizontal="center" vertical="top" wrapText="1"/>
    </xf>
    <xf numFmtId="4" fontId="20" fillId="11" borderId="13" xfId="0" applyNumberFormat="1" applyFont="1" applyFill="1" applyBorder="1" applyAlignment="1">
      <alignment horizontal="right" vertical="top" wrapText="1"/>
    </xf>
    <xf numFmtId="167" fontId="20" fillId="11" borderId="13" xfId="0" applyNumberFormat="1" applyFont="1" applyFill="1" applyBorder="1" applyAlignment="1">
      <alignment horizontal="right" vertical="top" wrapText="1"/>
    </xf>
    <xf numFmtId="4" fontId="19" fillId="10" borderId="13" xfId="0" applyNumberFormat="1" applyFont="1" applyFill="1" applyBorder="1" applyAlignment="1">
      <alignment horizontal="right" vertical="top" wrapText="1"/>
    </xf>
    <xf numFmtId="0" fontId="19" fillId="18" borderId="12" xfId="0" applyFont="1" applyFill="1" applyBorder="1" applyAlignment="1">
      <alignment horizontal="left" vertical="top" wrapText="1"/>
    </xf>
    <xf numFmtId="0" fontId="19" fillId="18" borderId="13" xfId="0" applyFont="1" applyFill="1" applyBorder="1" applyAlignment="1">
      <alignment horizontal="left" vertical="top" wrapText="1"/>
    </xf>
    <xf numFmtId="4" fontId="19" fillId="18" borderId="13" xfId="0" applyNumberFormat="1" applyFont="1" applyFill="1" applyBorder="1" applyAlignment="1">
      <alignment horizontal="right" vertical="top" wrapText="1"/>
    </xf>
    <xf numFmtId="0" fontId="1" fillId="5" borderId="0" xfId="0" applyFont="1" applyFill="1" applyBorder="1" applyAlignment="1">
      <alignment horizontal="left" vertical="top" wrapText="1"/>
    </xf>
    <xf numFmtId="172" fontId="0" fillId="0" borderId="5" xfId="0" applyNumberFormat="1" applyBorder="1" applyAlignment="1">
      <alignment vertical="center"/>
    </xf>
    <xf numFmtId="172" fontId="0" fillId="0" borderId="5" xfId="0" applyNumberFormat="1" applyBorder="1"/>
    <xf numFmtId="172" fontId="8" fillId="0" borderId="5" xfId="0" applyNumberFormat="1" applyFont="1" applyBorder="1" applyAlignment="1">
      <alignment wrapText="1"/>
    </xf>
    <xf numFmtId="172" fontId="4" fillId="0" borderId="5" xfId="4" applyNumberFormat="1" applyFont="1" applyBorder="1" applyAlignment="1">
      <alignment horizontal="justify" vertical="center" wrapText="1"/>
    </xf>
    <xf numFmtId="0" fontId="5" fillId="5" borderId="14" xfId="0" applyFont="1" applyFill="1" applyBorder="1" applyAlignment="1">
      <alignment horizontal="right" vertical="top" wrapText="1"/>
    </xf>
    <xf numFmtId="4" fontId="19" fillId="10" borderId="14" xfId="0" applyNumberFormat="1" applyFont="1" applyFill="1" applyBorder="1" applyAlignment="1">
      <alignment horizontal="right" vertical="top" wrapText="1"/>
    </xf>
    <xf numFmtId="4" fontId="20" fillId="11" borderId="14" xfId="0" applyNumberFormat="1" applyFont="1" applyFill="1" applyBorder="1" applyAlignment="1">
      <alignment horizontal="right" vertical="top" wrapText="1"/>
    </xf>
    <xf numFmtId="4" fontId="19" fillId="18" borderId="14" xfId="0" applyNumberFormat="1" applyFont="1" applyFill="1" applyBorder="1" applyAlignment="1">
      <alignment horizontal="right" vertical="top" wrapText="1"/>
    </xf>
    <xf numFmtId="0" fontId="35" fillId="0" borderId="0" xfId="0" applyFont="1" applyAlignment="1">
      <alignment vertical="center"/>
    </xf>
    <xf numFmtId="49" fontId="16" fillId="0" borderId="2" xfId="0" applyNumberFormat="1" applyFont="1" applyBorder="1" applyAlignment="1">
      <alignment horizontal="left" vertical="top" wrapText="1"/>
    </xf>
    <xf numFmtId="172" fontId="16" fillId="0" borderId="2" xfId="0" applyNumberFormat="1" applyFont="1" applyBorder="1" applyAlignment="1">
      <alignment horizontal="left" vertical="top" wrapText="1"/>
    </xf>
    <xf numFmtId="172" fontId="16" fillId="0" borderId="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72" fontId="16" fillId="0" borderId="0" xfId="0" applyNumberFormat="1" applyFont="1" applyBorder="1" applyAlignment="1">
      <alignment horizontal="left" vertical="top" wrapText="1"/>
    </xf>
    <xf numFmtId="172" fontId="16" fillId="0" borderId="5" xfId="0" applyNumberFormat="1" applyFont="1" applyBorder="1" applyAlignment="1">
      <alignment horizontal="left" vertical="top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2" fontId="4" fillId="0" borderId="13" xfId="0" applyNumberFormat="1" applyFont="1" applyBorder="1" applyAlignment="1">
      <alignment horizontal="center" vertical="center" wrapText="1"/>
    </xf>
    <xf numFmtId="172" fontId="4" fillId="0" borderId="1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17" fillId="0" borderId="27" xfId="4" applyFont="1" applyBorder="1" applyAlignment="1">
      <alignment horizontal="center" vertical="center"/>
    </xf>
    <xf numFmtId="0" fontId="17" fillId="0" borderId="22" xfId="4" applyFont="1" applyBorder="1" applyAlignment="1">
      <alignment horizontal="center" vertical="center"/>
    </xf>
    <xf numFmtId="0" fontId="17" fillId="0" borderId="22" xfId="4" applyFont="1" applyBorder="1" applyAlignment="1">
      <alignment horizontal="center" vertical="center" wrapText="1"/>
    </xf>
    <xf numFmtId="172" fontId="17" fillId="0" borderId="22" xfId="4" applyNumberFormat="1" applyFont="1" applyBorder="1" applyAlignment="1">
      <alignment horizontal="center" vertical="center"/>
    </xf>
    <xf numFmtId="172" fontId="17" fillId="0" borderId="23" xfId="4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right" vertical="top" wrapText="1"/>
    </xf>
    <xf numFmtId="0" fontId="8" fillId="5" borderId="0" xfId="0" applyFont="1" applyFill="1" applyBorder="1" applyAlignment="1">
      <alignment horizontal="right" vertical="top" wrapText="1"/>
    </xf>
    <xf numFmtId="0" fontId="8" fillId="5" borderId="0" xfId="0" applyFont="1" applyFill="1" applyBorder="1" applyAlignment="1">
      <alignment horizontal="left" vertical="top" wrapText="1"/>
    </xf>
    <xf numFmtId="4" fontId="8" fillId="5" borderId="0" xfId="0" applyNumberFormat="1" applyFont="1" applyFill="1" applyBorder="1" applyAlignment="1">
      <alignment horizontal="right" vertical="top" wrapText="1"/>
    </xf>
    <xf numFmtId="0" fontId="8" fillId="5" borderId="5" xfId="0" applyFont="1" applyFill="1" applyBorder="1" applyAlignment="1">
      <alignment horizontal="right" vertical="top" wrapText="1"/>
    </xf>
    <xf numFmtId="0" fontId="4" fillId="5" borderId="0" xfId="0" applyFont="1" applyFill="1" applyBorder="1" applyAlignment="1">
      <alignment horizontal="left" vertical="top" wrapText="1"/>
    </xf>
    <xf numFmtId="0" fontId="4" fillId="5" borderId="0" xfId="0" applyFont="1" applyFill="1" applyBorder="1" applyAlignment="1">
      <alignment horizontal="right" vertical="top" wrapText="1"/>
    </xf>
    <xf numFmtId="4" fontId="4" fillId="5" borderId="0" xfId="0" applyNumberFormat="1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right" vertical="top" wrapText="1"/>
    </xf>
    <xf numFmtId="0" fontId="1" fillId="5" borderId="18" xfId="0" applyFont="1" applyFill="1" applyBorder="1" applyAlignment="1">
      <alignment horizontal="center" vertical="top" wrapText="1"/>
    </xf>
    <xf numFmtId="0" fontId="0" fillId="0" borderId="19" xfId="0" applyBorder="1"/>
    <xf numFmtId="0" fontId="0" fillId="0" borderId="20" xfId="0" applyBorder="1"/>
    <xf numFmtId="0" fontId="1" fillId="0" borderId="25" xfId="33" applyFont="1" applyBorder="1" applyAlignment="1">
      <alignment horizontal="left" vertical="center"/>
    </xf>
    <xf numFmtId="0" fontId="1" fillId="0" borderId="25" xfId="33" applyBorder="1" applyAlignment="1">
      <alignment horizontal="left" vertical="center"/>
    </xf>
    <xf numFmtId="0" fontId="1" fillId="0" borderId="58" xfId="33" applyBorder="1" applyAlignment="1">
      <alignment horizontal="left" vertical="center"/>
    </xf>
    <xf numFmtId="0" fontId="1" fillId="0" borderId="0" xfId="33" applyFont="1" applyBorder="1" applyAlignment="1">
      <alignment horizontal="left" vertical="center"/>
    </xf>
    <xf numFmtId="0" fontId="1" fillId="0" borderId="0" xfId="33" applyBorder="1" applyAlignment="1">
      <alignment horizontal="left" vertical="center"/>
    </xf>
    <xf numFmtId="0" fontId="1" fillId="0" borderId="80" xfId="33" applyBorder="1" applyAlignment="1">
      <alignment horizontal="left" vertical="center"/>
    </xf>
    <xf numFmtId="0" fontId="4" fillId="0" borderId="93" xfId="33" applyFont="1" applyBorder="1" applyAlignment="1">
      <alignment horizontal="center" vertical="center"/>
    </xf>
    <xf numFmtId="0" fontId="4" fillId="0" borderId="0" xfId="33" applyFont="1" applyBorder="1" applyAlignment="1">
      <alignment horizontal="center" vertical="center"/>
    </xf>
    <xf numFmtId="0" fontId="4" fillId="0" borderId="80" xfId="33" applyFont="1" applyBorder="1" applyAlignment="1">
      <alignment horizontal="center" vertical="center"/>
    </xf>
    <xf numFmtId="0" fontId="4" fillId="0" borderId="21" xfId="33" applyFont="1" applyBorder="1" applyAlignment="1">
      <alignment horizontal="center" vertical="center" wrapText="1"/>
    </xf>
    <xf numFmtId="0" fontId="4" fillId="0" borderId="22" xfId="33" applyFont="1" applyBorder="1" applyAlignment="1">
      <alignment horizontal="center" vertical="center" wrapText="1"/>
    </xf>
    <xf numFmtId="0" fontId="4" fillId="0" borderId="28" xfId="33" applyFont="1" applyBorder="1" applyAlignment="1">
      <alignment horizontal="center" vertical="center" wrapText="1"/>
    </xf>
    <xf numFmtId="0" fontId="5" fillId="0" borderId="94" xfId="33" applyFont="1" applyBorder="1" applyAlignment="1">
      <alignment horizontal="right" vertical="center"/>
    </xf>
    <xf numFmtId="0" fontId="5" fillId="0" borderId="95" xfId="33" applyFont="1" applyBorder="1" applyAlignment="1">
      <alignment horizontal="right" vertical="center"/>
    </xf>
    <xf numFmtId="0" fontId="5" fillId="0" borderId="96" xfId="33" applyFont="1" applyBorder="1" applyAlignment="1">
      <alignment horizontal="right" vertical="center"/>
    </xf>
    <xf numFmtId="0" fontId="5" fillId="0" borderId="13" xfId="33" applyFont="1" applyBorder="1" applyAlignment="1">
      <alignment horizontal="right" vertical="center"/>
    </xf>
    <xf numFmtId="0" fontId="8" fillId="0" borderId="0" xfId="33" applyFont="1" applyBorder="1" applyAlignment="1">
      <alignment horizontal="left" wrapText="1"/>
    </xf>
    <xf numFmtId="0" fontId="5" fillId="0" borderId="97" xfId="33" applyFont="1" applyBorder="1" applyAlignment="1">
      <alignment horizontal="center" vertical="center" wrapText="1"/>
    </xf>
    <xf numFmtId="0" fontId="5" fillId="0" borderId="98" xfId="33" applyFont="1" applyBorder="1" applyAlignment="1">
      <alignment horizontal="center" vertical="center" wrapText="1"/>
    </xf>
    <xf numFmtId="0" fontId="5" fillId="0" borderId="99" xfId="33" applyFont="1" applyBorder="1" applyAlignment="1">
      <alignment horizontal="center" vertical="center" wrapText="1"/>
    </xf>
    <xf numFmtId="0" fontId="33" fillId="0" borderId="21" xfId="33" applyFont="1" applyBorder="1" applyAlignment="1">
      <alignment horizontal="right" vertical="center"/>
    </xf>
    <xf numFmtId="0" fontId="33" fillId="0" borderId="22" xfId="33" applyFont="1" applyBorder="1" applyAlignment="1">
      <alignment horizontal="right" vertical="center"/>
    </xf>
    <xf numFmtId="0" fontId="33" fillId="0" borderId="28" xfId="33" applyFont="1" applyBorder="1" applyAlignment="1">
      <alignment horizontal="right" vertical="center"/>
    </xf>
    <xf numFmtId="10" fontId="33" fillId="0" borderId="21" xfId="33" applyNumberFormat="1" applyFont="1" applyBorder="1" applyAlignment="1">
      <alignment horizontal="right" vertical="center"/>
    </xf>
    <xf numFmtId="0" fontId="1" fillId="0" borderId="100" xfId="33" applyBorder="1" applyAlignment="1">
      <alignment horizontal="center"/>
    </xf>
    <xf numFmtId="0" fontId="1" fillId="0" borderId="10" xfId="33" applyBorder="1" applyAlignment="1">
      <alignment horizontal="center"/>
    </xf>
    <xf numFmtId="0" fontId="1" fillId="0" borderId="101" xfId="33" applyBorder="1" applyAlignment="1">
      <alignment horizontal="center"/>
    </xf>
    <xf numFmtId="0" fontId="1" fillId="0" borderId="2" xfId="33" applyFont="1" applyBorder="1" applyAlignment="1">
      <alignment horizontal="center" vertical="center"/>
    </xf>
    <xf numFmtId="0" fontId="1" fillId="0" borderId="2" xfId="33" applyBorder="1" applyAlignment="1">
      <alignment horizontal="center" vertical="center"/>
    </xf>
    <xf numFmtId="0" fontId="1" fillId="0" borderId="0" xfId="33" applyFont="1" applyBorder="1" applyAlignment="1">
      <alignment horizontal="center" vertical="center"/>
    </xf>
    <xf numFmtId="0" fontId="1" fillId="0" borderId="0" xfId="33" applyBorder="1" applyAlignment="1">
      <alignment horizontal="center" vertical="center"/>
    </xf>
    <xf numFmtId="0" fontId="4" fillId="0" borderId="4" xfId="33" applyFont="1" applyBorder="1" applyAlignment="1">
      <alignment horizontal="center" vertical="center"/>
    </xf>
    <xf numFmtId="0" fontId="4" fillId="0" borderId="12" xfId="33" applyFont="1" applyBorder="1" applyAlignment="1">
      <alignment horizontal="center" vertical="center" wrapText="1"/>
    </xf>
    <xf numFmtId="0" fontId="4" fillId="0" borderId="13" xfId="33" applyFont="1" applyBorder="1" applyAlignment="1">
      <alignment horizontal="center" vertical="center" wrapText="1"/>
    </xf>
    <xf numFmtId="0" fontId="4" fillId="0" borderId="14" xfId="33" applyFont="1" applyBorder="1" applyAlignment="1">
      <alignment horizontal="center" vertical="center" wrapText="1"/>
    </xf>
    <xf numFmtId="10" fontId="5" fillId="0" borderId="13" xfId="33" applyNumberFormat="1" applyFont="1" applyBorder="1" applyAlignment="1">
      <alignment horizontal="center" vertical="center"/>
    </xf>
    <xf numFmtId="10" fontId="5" fillId="0" borderId="14" xfId="33" applyNumberFormat="1" applyFont="1" applyBorder="1" applyAlignment="1">
      <alignment horizontal="center" vertical="center"/>
    </xf>
    <xf numFmtId="0" fontId="5" fillId="0" borderId="13" xfId="33" applyFont="1" applyBorder="1" applyAlignment="1">
      <alignment horizontal="center" vertical="center" wrapText="1"/>
    </xf>
    <xf numFmtId="0" fontId="5" fillId="0" borderId="14" xfId="33" applyFont="1" applyBorder="1" applyAlignment="1">
      <alignment horizontal="center" vertical="center" wrapText="1"/>
    </xf>
    <xf numFmtId="0" fontId="29" fillId="0" borderId="82" xfId="33" applyFont="1" applyBorder="1" applyAlignment="1">
      <alignment horizontal="right" vertical="center"/>
    </xf>
    <xf numFmtId="0" fontId="29" fillId="0" borderId="83" xfId="33" applyFont="1" applyBorder="1" applyAlignment="1">
      <alignment horizontal="right" vertical="center"/>
    </xf>
    <xf numFmtId="0" fontId="29" fillId="4" borderId="22" xfId="25" applyFont="1" applyFill="1" applyBorder="1" applyAlignment="1">
      <alignment horizontal="right" vertical="center"/>
    </xf>
    <xf numFmtId="0" fontId="29" fillId="4" borderId="28" xfId="25" applyFont="1" applyFill="1" applyBorder="1" applyAlignment="1">
      <alignment horizontal="right" vertical="center"/>
    </xf>
    <xf numFmtId="0" fontId="29" fillId="0" borderId="82" xfId="21" applyFont="1" applyBorder="1" applyAlignment="1">
      <alignment horizontal="right" vertical="center"/>
    </xf>
    <xf numFmtId="0" fontId="29" fillId="0" borderId="83" xfId="21" applyFont="1" applyBorder="1" applyAlignment="1">
      <alignment horizontal="right" vertical="center"/>
    </xf>
    <xf numFmtId="0" fontId="1" fillId="5" borderId="19" xfId="0" applyFont="1" applyFill="1" applyBorder="1" applyAlignment="1">
      <alignment horizontal="center" vertical="top" wrapText="1"/>
    </xf>
    <xf numFmtId="0" fontId="1" fillId="5" borderId="20" xfId="0" applyFont="1" applyFill="1" applyBorder="1" applyAlignment="1">
      <alignment horizontal="center" vertical="top" wrapText="1"/>
    </xf>
    <xf numFmtId="0" fontId="25" fillId="12" borderId="56" xfId="47" applyFont="1" applyFill="1" applyBorder="1" applyAlignment="1">
      <alignment horizontal="center" vertical="center" wrapText="1"/>
    </xf>
    <xf numFmtId="0" fontId="25" fillId="12" borderId="62" xfId="47" applyFont="1" applyFill="1" applyBorder="1" applyAlignment="1">
      <alignment horizontal="center" vertical="center" wrapText="1"/>
    </xf>
    <xf numFmtId="0" fontId="25" fillId="12" borderId="15" xfId="47" applyFont="1" applyFill="1" applyBorder="1" applyAlignment="1">
      <alignment horizontal="center" vertical="center" wrapText="1"/>
    </xf>
    <xf numFmtId="0" fontId="25" fillId="12" borderId="17" xfId="47" applyFont="1" applyFill="1" applyBorder="1" applyAlignment="1">
      <alignment horizontal="center" vertical="center" wrapText="1"/>
    </xf>
    <xf numFmtId="0" fontId="25" fillId="12" borderId="15" xfId="47" applyFont="1" applyFill="1" applyBorder="1" applyAlignment="1">
      <alignment horizontal="left" vertical="center" wrapText="1"/>
    </xf>
    <xf numFmtId="0" fontId="25" fillId="12" borderId="17" xfId="47" applyFont="1" applyFill="1" applyBorder="1" applyAlignment="1">
      <alignment horizontal="left" vertical="center" wrapText="1"/>
    </xf>
    <xf numFmtId="0" fontId="25" fillId="12" borderId="15" xfId="47" applyFont="1" applyFill="1" applyBorder="1" applyAlignment="1">
      <alignment horizontal="justify" vertical="center" wrapText="1"/>
    </xf>
    <xf numFmtId="0" fontId="25" fillId="12" borderId="17" xfId="47" applyFont="1" applyFill="1" applyBorder="1" applyAlignment="1">
      <alignment horizontal="justify" vertical="center" wrapText="1"/>
    </xf>
    <xf numFmtId="0" fontId="25" fillId="12" borderId="15" xfId="47" applyFont="1" applyFill="1" applyBorder="1" applyAlignment="1">
      <alignment vertical="center" wrapText="1"/>
    </xf>
    <xf numFmtId="0" fontId="25" fillId="12" borderId="17" xfId="47" applyFont="1" applyFill="1" applyBorder="1" applyAlignment="1">
      <alignment vertical="center" wrapText="1"/>
    </xf>
    <xf numFmtId="169" fontId="25" fillId="12" borderId="15" xfId="8" applyNumberFormat="1" applyFont="1" applyFill="1" applyBorder="1" applyAlignment="1">
      <alignment horizontal="center" vertical="center" wrapText="1"/>
    </xf>
    <xf numFmtId="169" fontId="25" fillId="12" borderId="17" xfId="8" applyNumberFormat="1" applyFont="1" applyFill="1" applyBorder="1" applyAlignment="1">
      <alignment horizontal="center" vertical="center" wrapText="1"/>
    </xf>
    <xf numFmtId="169" fontId="25" fillId="12" borderId="61" xfId="8" applyNumberFormat="1" applyFont="1" applyFill="1" applyBorder="1" applyAlignment="1">
      <alignment horizontal="center" vertical="center" wrapText="1"/>
    </xf>
    <xf numFmtId="169" fontId="25" fillId="12" borderId="63" xfId="8" applyNumberFormat="1" applyFont="1" applyFill="1" applyBorder="1" applyAlignment="1">
      <alignment horizontal="center" vertical="center" wrapText="1"/>
    </xf>
    <xf numFmtId="0" fontId="1" fillId="0" borderId="1" xfId="33" applyFont="1" applyBorder="1" applyAlignment="1">
      <alignment horizontal="center" vertical="center"/>
    </xf>
    <xf numFmtId="0" fontId="1" fillId="0" borderId="3" xfId="33" applyFont="1" applyBorder="1" applyAlignment="1">
      <alignment horizontal="center" vertical="center"/>
    </xf>
    <xf numFmtId="0" fontId="1" fillId="0" borderId="4" xfId="33" applyFont="1" applyBorder="1" applyAlignment="1">
      <alignment horizontal="center" vertical="center"/>
    </xf>
    <xf numFmtId="0" fontId="1" fillId="0" borderId="5" xfId="33" applyFont="1" applyBorder="1" applyAlignment="1">
      <alignment horizontal="center" vertical="center"/>
    </xf>
    <xf numFmtId="0" fontId="5" fillId="0" borderId="6" xfId="33" applyFont="1" applyBorder="1" applyAlignment="1">
      <alignment horizontal="center" vertical="center" wrapText="1"/>
    </xf>
    <xf numFmtId="0" fontId="5" fillId="0" borderId="7" xfId="33" applyFont="1" applyBorder="1" applyAlignment="1">
      <alignment horizontal="center" vertical="center" wrapText="1"/>
    </xf>
    <xf numFmtId="0" fontId="5" fillId="0" borderId="8" xfId="33" applyFont="1" applyBorder="1" applyAlignment="1">
      <alignment horizontal="center" vertical="center" wrapText="1"/>
    </xf>
    <xf numFmtId="0" fontId="8" fillId="0" borderId="0" xfId="33" applyFont="1" applyBorder="1" applyAlignment="1">
      <alignment horizontal="center" wrapText="1"/>
    </xf>
    <xf numFmtId="0" fontId="6" fillId="0" borderId="4" xfId="33" applyFont="1" applyBorder="1" applyAlignment="1">
      <alignment horizontal="center"/>
    </xf>
    <xf numFmtId="0" fontId="6" fillId="0" borderId="0" xfId="33" applyFont="1" applyBorder="1" applyAlignment="1">
      <alignment horizontal="center"/>
    </xf>
    <xf numFmtId="0" fontId="6" fillId="0" borderId="5" xfId="33" applyFont="1" applyBorder="1" applyAlignment="1">
      <alignment horizontal="center"/>
    </xf>
    <xf numFmtId="4" fontId="4" fillId="0" borderId="6" xfId="33" applyNumberFormat="1" applyFont="1" applyBorder="1" applyAlignment="1">
      <alignment horizontal="center" vertical="center"/>
    </xf>
    <xf numFmtId="4" fontId="4" fillId="0" borderId="8" xfId="33" applyNumberFormat="1" applyFont="1" applyBorder="1" applyAlignment="1">
      <alignment horizontal="center" vertical="center"/>
    </xf>
    <xf numFmtId="0" fontId="21" fillId="0" borderId="4" xfId="33" applyFont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1" fillId="0" borderId="5" xfId="33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9" borderId="64" xfId="21" applyFont="1" applyFill="1" applyBorder="1" applyAlignment="1">
      <alignment horizontal="center" vertical="center"/>
    </xf>
    <xf numFmtId="0" fontId="4" fillId="9" borderId="70" xfId="21" applyFont="1" applyFill="1" applyBorder="1" applyAlignment="1">
      <alignment horizontal="center" vertical="center"/>
    </xf>
    <xf numFmtId="0" fontId="4" fillId="9" borderId="69" xfId="21" applyFont="1" applyFill="1" applyBorder="1" applyAlignment="1">
      <alignment horizontal="center" vertical="center"/>
    </xf>
    <xf numFmtId="0" fontId="8" fillId="5" borderId="77" xfId="0" applyFont="1" applyFill="1" applyBorder="1" applyAlignment="1">
      <alignment horizontal="left" vertical="top" wrapText="1"/>
    </xf>
    <xf numFmtId="0" fontId="8" fillId="5" borderId="78" xfId="0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1" xfId="4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/>
    </xf>
    <xf numFmtId="0" fontId="6" fillId="0" borderId="3" xfId="4" applyFont="1" applyBorder="1" applyAlignment="1">
      <alignment horizontal="center" vertical="center"/>
    </xf>
    <xf numFmtId="0" fontId="6" fillId="0" borderId="4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8" fillId="0" borderId="21" xfId="4" applyFont="1" applyBorder="1" applyAlignment="1">
      <alignment horizontal="center" vertical="center" wrapText="1"/>
    </xf>
    <xf numFmtId="0" fontId="8" fillId="0" borderId="22" xfId="4" applyFont="1" applyBorder="1" applyAlignment="1">
      <alignment horizontal="center" vertical="center" wrapText="1"/>
    </xf>
    <xf numFmtId="0" fontId="8" fillId="0" borderId="28" xfId="4" applyFont="1" applyBorder="1" applyAlignment="1">
      <alignment horizontal="center" vertical="center" wrapText="1"/>
    </xf>
    <xf numFmtId="0" fontId="7" fillId="0" borderId="19" xfId="4" applyFont="1" applyBorder="1" applyAlignment="1">
      <alignment horizontal="left" vertical="center" wrapText="1"/>
    </xf>
    <xf numFmtId="0" fontId="7" fillId="0" borderId="20" xfId="4" applyFont="1" applyBorder="1" applyAlignment="1">
      <alignment horizontal="left" vertical="center" wrapText="1"/>
    </xf>
    <xf numFmtId="49" fontId="5" fillId="8" borderId="6" xfId="41" applyNumberFormat="1" applyFont="1" applyFill="1" applyBorder="1" applyAlignment="1">
      <alignment horizontal="center" vertical="center"/>
    </xf>
    <xf numFmtId="49" fontId="5" fillId="8" borderId="7" xfId="41" applyNumberFormat="1" applyFont="1" applyFill="1" applyBorder="1" applyAlignment="1">
      <alignment horizontal="center" vertical="center"/>
    </xf>
    <xf numFmtId="49" fontId="5" fillId="8" borderId="8" xfId="41" applyNumberFormat="1" applyFont="1" applyFill="1" applyBorder="1" applyAlignment="1">
      <alignment horizontal="center" vertical="center"/>
    </xf>
    <xf numFmtId="0" fontId="1" fillId="0" borderId="0" xfId="4" applyAlignment="1">
      <alignment horizontal="center"/>
    </xf>
    <xf numFmtId="0" fontId="11" fillId="3" borderId="47" xfId="41" applyFont="1" applyFill="1" applyBorder="1" applyAlignment="1">
      <alignment horizontal="center" vertical="center"/>
    </xf>
    <xf numFmtId="0" fontId="11" fillId="3" borderId="48" xfId="41" applyFont="1" applyFill="1" applyBorder="1" applyAlignment="1">
      <alignment horizontal="center" vertical="center"/>
    </xf>
    <xf numFmtId="0" fontId="1" fillId="0" borderId="6" xfId="41" applyFont="1" applyBorder="1" applyAlignment="1">
      <alignment vertical="center"/>
    </xf>
    <xf numFmtId="0" fontId="1" fillId="0" borderId="7" xfId="41" applyFont="1" applyBorder="1" applyAlignment="1">
      <alignment vertical="center"/>
    </xf>
    <xf numFmtId="0" fontId="8" fillId="0" borderId="50" xfId="41" applyFont="1" applyFill="1" applyBorder="1" applyAlignment="1">
      <alignment horizontal="justify" vertical="center" wrapText="1"/>
    </xf>
    <xf numFmtId="0" fontId="8" fillId="0" borderId="51" xfId="41" applyFont="1" applyFill="1" applyBorder="1" applyAlignment="1">
      <alignment horizontal="justify" vertical="center" wrapText="1"/>
    </xf>
    <xf numFmtId="0" fontId="10" fillId="0" borderId="50" xfId="41" applyFont="1" applyBorder="1" applyAlignment="1">
      <alignment horizontal="center"/>
    </xf>
    <xf numFmtId="0" fontId="10" fillId="0" borderId="52" xfId="41" applyFont="1" applyBorder="1" applyAlignment="1">
      <alignment horizontal="center"/>
    </xf>
    <xf numFmtId="10" fontId="1" fillId="0" borderId="21" xfId="71" applyNumberFormat="1" applyFont="1" applyBorder="1" applyAlignment="1">
      <alignment horizontal="center" vertical="center"/>
    </xf>
    <xf numFmtId="10" fontId="1" fillId="0" borderId="28" xfId="71" applyNumberFormat="1" applyFont="1" applyBorder="1" applyAlignment="1">
      <alignment horizontal="center" vertical="center"/>
    </xf>
    <xf numFmtId="0" fontId="8" fillId="0" borderId="53" xfId="41" applyFont="1" applyFill="1" applyBorder="1" applyAlignment="1">
      <alignment horizontal="right" vertical="center"/>
    </xf>
    <xf numFmtId="0" fontId="8" fillId="0" borderId="48" xfId="41" applyFont="1" applyFill="1" applyBorder="1" applyAlignment="1">
      <alignment horizontal="right" vertical="center"/>
    </xf>
    <xf numFmtId="10" fontId="1" fillId="0" borderId="47" xfId="71" applyNumberFormat="1" applyFont="1" applyBorder="1" applyAlignment="1">
      <alignment horizontal="center" vertical="center"/>
    </xf>
    <xf numFmtId="10" fontId="1" fillId="0" borderId="48" xfId="71" applyNumberFormat="1" applyFont="1" applyBorder="1" applyAlignment="1">
      <alignment horizontal="center" vertical="center"/>
    </xf>
    <xf numFmtId="0" fontId="1" fillId="0" borderId="6" xfId="41" applyFont="1" applyBorder="1" applyAlignment="1">
      <alignment horizontal="center" vertical="center"/>
    </xf>
    <xf numFmtId="0" fontId="1" fillId="0" borderId="7" xfId="41" applyFont="1" applyBorder="1" applyAlignment="1">
      <alignment horizontal="center" vertical="center"/>
    </xf>
    <xf numFmtId="10" fontId="1" fillId="0" borderId="50" xfId="71" applyNumberFormat="1" applyFont="1" applyBorder="1" applyAlignment="1">
      <alignment horizontal="center" vertical="center"/>
    </xf>
    <xf numFmtId="10" fontId="1" fillId="0" borderId="52" xfId="71" applyNumberFormat="1" applyFont="1" applyBorder="1" applyAlignment="1">
      <alignment horizontal="center" vertical="center"/>
    </xf>
    <xf numFmtId="49" fontId="11" fillId="8" borderId="54" xfId="41" applyNumberFormat="1" applyFont="1" applyFill="1" applyBorder="1" applyAlignment="1">
      <alignment horizontal="center" vertical="center" wrapText="1"/>
    </xf>
    <xf numFmtId="49" fontId="11" fillId="8" borderId="55" xfId="41" applyNumberFormat="1" applyFont="1" applyFill="1" applyBorder="1" applyAlignment="1">
      <alignment horizontal="center" vertical="center" wrapText="1"/>
    </xf>
    <xf numFmtId="49" fontId="11" fillId="8" borderId="51" xfId="41" applyNumberFormat="1" applyFont="1" applyFill="1" applyBorder="1" applyAlignment="1">
      <alignment horizontal="center" vertical="center" wrapText="1"/>
    </xf>
    <xf numFmtId="10" fontId="1" fillId="0" borderId="65" xfId="71" applyNumberFormat="1" applyFont="1" applyBorder="1" applyAlignment="1">
      <alignment horizontal="center" vertical="center"/>
    </xf>
    <xf numFmtId="10" fontId="1" fillId="0" borderId="66" xfId="71" applyNumberFormat="1" applyFont="1" applyBorder="1" applyAlignment="1">
      <alignment horizontal="center" vertical="center"/>
    </xf>
    <xf numFmtId="0" fontId="1" fillId="0" borderId="1" xfId="41" applyFont="1" applyFill="1" applyBorder="1" applyAlignment="1">
      <alignment horizontal="center" vertical="center"/>
    </xf>
    <xf numFmtId="0" fontId="1" fillId="0" borderId="2" xfId="41" applyFont="1" applyFill="1" applyBorder="1" applyAlignment="1">
      <alignment horizontal="center" vertical="center"/>
    </xf>
    <xf numFmtId="0" fontId="11" fillId="0" borderId="41" xfId="41" applyFont="1" applyFill="1" applyBorder="1" applyAlignment="1">
      <alignment horizontal="center" vertical="center"/>
    </xf>
    <xf numFmtId="0" fontId="11" fillId="0" borderId="44" xfId="41" applyFont="1" applyFill="1" applyBorder="1" applyAlignment="1">
      <alignment horizontal="center" vertical="center"/>
    </xf>
    <xf numFmtId="0" fontId="1" fillId="0" borderId="56" xfId="41" applyFont="1" applyBorder="1" applyAlignment="1">
      <alignment horizontal="center" vertical="center"/>
    </xf>
    <xf numFmtId="0" fontId="1" fillId="0" borderId="62" xfId="41" applyFont="1" applyBorder="1" applyAlignment="1">
      <alignment horizontal="center" vertical="center"/>
    </xf>
    <xf numFmtId="0" fontId="11" fillId="0" borderId="42" xfId="41" applyFont="1" applyFill="1" applyBorder="1" applyAlignment="1">
      <alignment horizontal="center" vertical="center"/>
    </xf>
    <xf numFmtId="0" fontId="11" fillId="0" borderId="45" xfId="41" applyFont="1" applyFill="1" applyBorder="1" applyAlignment="1">
      <alignment horizontal="center" vertical="center"/>
    </xf>
    <xf numFmtId="0" fontId="1" fillId="0" borderId="15" xfId="41" applyFont="1" applyFill="1" applyBorder="1" applyAlignment="1">
      <alignment horizontal="left" vertical="center"/>
    </xf>
    <xf numFmtId="0" fontId="1" fillId="0" borderId="17" xfId="41" applyFont="1" applyFill="1" applyBorder="1" applyAlignment="1">
      <alignment horizontal="left" vertical="center"/>
    </xf>
    <xf numFmtId="0" fontId="11" fillId="0" borderId="43" xfId="41" applyFont="1" applyFill="1" applyBorder="1" applyAlignment="1">
      <alignment horizontal="center" vertical="center"/>
    </xf>
    <xf numFmtId="0" fontId="11" fillId="0" borderId="46" xfId="41" applyFont="1" applyFill="1" applyBorder="1" applyAlignment="1">
      <alignment horizontal="center" vertical="center"/>
    </xf>
    <xf numFmtId="10" fontId="1" fillId="9" borderId="61" xfId="71" applyNumberFormat="1" applyFont="1" applyFill="1" applyBorder="1" applyAlignment="1" applyProtection="1">
      <alignment horizontal="center" vertical="center"/>
      <protection locked="0"/>
    </xf>
    <xf numFmtId="10" fontId="1" fillId="9" borderId="63" xfId="71" applyNumberFormat="1" applyFont="1" applyFill="1" applyBorder="1" applyAlignment="1" applyProtection="1">
      <alignment horizontal="center" vertical="center"/>
      <protection locked="0"/>
    </xf>
    <xf numFmtId="10" fontId="15" fillId="8" borderId="15" xfId="41" applyNumberFormat="1" applyFont="1" applyFill="1" applyBorder="1" applyAlignment="1">
      <alignment horizontal="center" vertical="center"/>
    </xf>
    <xf numFmtId="10" fontId="15" fillId="8" borderId="45" xfId="41" applyNumberFormat="1" applyFont="1" applyFill="1" applyBorder="1" applyAlignment="1">
      <alignment horizontal="center" vertical="center"/>
    </xf>
    <xf numFmtId="10" fontId="12" fillId="0" borderId="56" xfId="71" applyNumberFormat="1" applyFont="1" applyBorder="1" applyAlignment="1">
      <alignment horizontal="center" vertical="center" wrapText="1"/>
    </xf>
    <xf numFmtId="10" fontId="12" fillId="0" borderId="44" xfId="71" applyNumberFormat="1" applyFont="1" applyBorder="1" applyAlignment="1">
      <alignment horizontal="center" vertical="center" wrapText="1"/>
    </xf>
    <xf numFmtId="0" fontId="13" fillId="0" borderId="61" xfId="41" applyFont="1" applyBorder="1" applyAlignment="1">
      <alignment horizontal="center" vertical="center" wrapText="1"/>
    </xf>
    <xf numFmtId="0" fontId="13" fillId="0" borderId="46" xfId="41" applyFont="1" applyBorder="1" applyAlignment="1">
      <alignment horizontal="center" vertical="center" wrapText="1"/>
    </xf>
    <xf numFmtId="0" fontId="8" fillId="0" borderId="1" xfId="41" applyFont="1" applyFill="1" applyBorder="1" applyAlignment="1">
      <alignment horizontal="center" vertical="center"/>
    </xf>
    <xf numFmtId="0" fontId="8" fillId="0" borderId="2" xfId="41" applyFont="1" applyFill="1" applyBorder="1" applyAlignment="1">
      <alignment horizontal="center" vertical="center"/>
    </xf>
    <xf numFmtId="0" fontId="8" fillId="0" borderId="3" xfId="41" applyFont="1" applyFill="1" applyBorder="1" applyAlignment="1">
      <alignment horizontal="center" vertical="center"/>
    </xf>
    <xf numFmtId="0" fontId="8" fillId="0" borderId="18" xfId="41" applyFont="1" applyFill="1" applyBorder="1" applyAlignment="1">
      <alignment horizontal="center" vertical="center"/>
    </xf>
    <xf numFmtId="0" fontId="8" fillId="0" borderId="19" xfId="41" applyFont="1" applyFill="1" applyBorder="1" applyAlignment="1">
      <alignment horizontal="center" vertical="center"/>
    </xf>
    <xf numFmtId="0" fontId="8" fillId="0" borderId="20" xfId="41" applyFont="1" applyFill="1" applyBorder="1" applyAlignment="1">
      <alignment horizontal="center" vertical="center"/>
    </xf>
    <xf numFmtId="0" fontId="4" fillId="0" borderId="1" xfId="41" applyFont="1" applyBorder="1" applyAlignment="1">
      <alignment horizontal="center" vertical="center"/>
    </xf>
    <xf numFmtId="0" fontId="4" fillId="0" borderId="67" xfId="41" applyFont="1" applyBorder="1" applyAlignment="1">
      <alignment horizontal="center" vertical="center"/>
    </xf>
    <xf numFmtId="0" fontId="4" fillId="0" borderId="18" xfId="41" applyFont="1" applyBorder="1" applyAlignment="1">
      <alignment horizontal="center" vertical="center"/>
    </xf>
    <xf numFmtId="0" fontId="4" fillId="0" borderId="60" xfId="41" applyFont="1" applyBorder="1" applyAlignment="1">
      <alignment horizontal="center" vertical="center"/>
    </xf>
    <xf numFmtId="49" fontId="11" fillId="8" borderId="1" xfId="41" applyNumberFormat="1" applyFont="1" applyFill="1" applyBorder="1" applyAlignment="1">
      <alignment horizontal="center" vertical="center" wrapText="1"/>
    </xf>
    <xf numFmtId="49" fontId="11" fillId="8" borderId="2" xfId="41" applyNumberFormat="1" applyFont="1" applyFill="1" applyBorder="1" applyAlignment="1">
      <alignment horizontal="center" vertical="center" wrapText="1"/>
    </xf>
    <xf numFmtId="49" fontId="11" fillId="8" borderId="3" xfId="41" applyNumberFormat="1" applyFont="1" applyFill="1" applyBorder="1" applyAlignment="1">
      <alignment horizontal="center" vertical="center" wrapText="1"/>
    </xf>
    <xf numFmtId="49" fontId="11" fillId="8" borderId="9" xfId="41" applyNumberFormat="1" applyFont="1" applyFill="1" applyBorder="1" applyAlignment="1">
      <alignment horizontal="center" vertical="center" wrapText="1"/>
    </xf>
    <xf numFmtId="49" fontId="11" fillId="8" borderId="10" xfId="41" applyNumberFormat="1" applyFont="1" applyFill="1" applyBorder="1" applyAlignment="1">
      <alignment horizontal="center" vertical="center" wrapText="1"/>
    </xf>
    <xf numFmtId="49" fontId="11" fillId="8" borderId="11" xfId="41" applyNumberFormat="1" applyFont="1" applyFill="1" applyBorder="1" applyAlignment="1">
      <alignment horizontal="center" vertical="center" wrapText="1"/>
    </xf>
    <xf numFmtId="0" fontId="13" fillId="0" borderId="57" xfId="41" applyFont="1" applyBorder="1" applyAlignment="1">
      <alignment horizontal="center" vertical="center" wrapText="1"/>
    </xf>
    <xf numFmtId="0" fontId="13" fillId="0" borderId="58" xfId="41" applyFont="1" applyBorder="1" applyAlignment="1">
      <alignment horizontal="center" vertical="center" wrapText="1"/>
    </xf>
    <xf numFmtId="0" fontId="13" fillId="0" borderId="59" xfId="41" applyFont="1" applyBorder="1" applyAlignment="1">
      <alignment horizontal="center" vertical="center" wrapText="1"/>
    </xf>
    <xf numFmtId="0" fontId="13" fillId="0" borderId="60" xfId="41" applyFont="1" applyBorder="1" applyAlignment="1">
      <alignment horizontal="center" vertical="center" wrapText="1"/>
    </xf>
    <xf numFmtId="0" fontId="4" fillId="0" borderId="27" xfId="25" applyFont="1" applyFill="1" applyBorder="1" applyAlignment="1">
      <alignment horizontal="center" vertical="center"/>
    </xf>
    <xf numFmtId="0" fontId="4" fillId="0" borderId="22" xfId="25" applyFont="1" applyFill="1" applyBorder="1" applyAlignment="1">
      <alignment horizontal="center" vertical="center"/>
    </xf>
    <xf numFmtId="0" fontId="4" fillId="0" borderId="23" xfId="25" applyFont="1" applyFill="1" applyBorder="1" applyAlignment="1">
      <alignment horizontal="center" vertical="center"/>
    </xf>
    <xf numFmtId="0" fontId="4" fillId="0" borderId="21" xfId="25" applyFont="1" applyFill="1" applyBorder="1" applyAlignment="1">
      <alignment horizontal="center" vertical="center"/>
    </xf>
    <xf numFmtId="0" fontId="4" fillId="0" borderId="28" xfId="25" applyFont="1" applyFill="1" applyBorder="1" applyAlignment="1">
      <alignment horizontal="center" vertical="center"/>
    </xf>
    <xf numFmtId="0" fontId="7" fillId="0" borderId="27" xfId="25" applyFont="1" applyFill="1" applyBorder="1" applyAlignment="1">
      <alignment horizontal="center"/>
    </xf>
    <xf numFmtId="0" fontId="7" fillId="0" borderId="22" xfId="25" applyFont="1" applyFill="1" applyBorder="1" applyAlignment="1">
      <alignment horizontal="center"/>
    </xf>
    <xf numFmtId="0" fontId="7" fillId="0" borderId="23" xfId="25" applyFont="1" applyFill="1" applyBorder="1" applyAlignment="1">
      <alignment horizontal="center"/>
    </xf>
    <xf numFmtId="0" fontId="4" fillId="0" borderId="38" xfId="25" applyFont="1" applyFill="1" applyBorder="1" applyAlignment="1">
      <alignment horizontal="center" vertical="center"/>
    </xf>
    <xf numFmtId="0" fontId="4" fillId="0" borderId="39" xfId="25" applyFont="1" applyFill="1" applyBorder="1" applyAlignment="1">
      <alignment horizontal="center" vertical="center"/>
    </xf>
    <xf numFmtId="168" fontId="4" fillId="0" borderId="13" xfId="25" applyNumberFormat="1" applyFont="1" applyFill="1" applyBorder="1" applyAlignment="1">
      <alignment horizontal="center" vertical="center"/>
    </xf>
    <xf numFmtId="168" fontId="4" fillId="0" borderId="14" xfId="25" applyNumberFormat="1" applyFont="1" applyFill="1" applyBorder="1" applyAlignment="1">
      <alignment horizontal="center" vertical="center"/>
    </xf>
    <xf numFmtId="0" fontId="7" fillId="0" borderId="24" xfId="6" applyFont="1" applyFill="1" applyBorder="1" applyAlignment="1">
      <alignment horizontal="center" vertical="center" wrapText="1"/>
    </xf>
    <xf numFmtId="0" fontId="7" fillId="0" borderId="25" xfId="6" applyFont="1" applyFill="1" applyBorder="1" applyAlignment="1">
      <alignment horizontal="center" vertical="center" wrapText="1"/>
    </xf>
    <xf numFmtId="0" fontId="7" fillId="0" borderId="26" xfId="6" applyFont="1" applyFill="1" applyBorder="1" applyAlignment="1">
      <alignment horizontal="center" vertical="center" wrapText="1"/>
    </xf>
    <xf numFmtId="0" fontId="7" fillId="0" borderId="9" xfId="6" applyFont="1" applyFill="1" applyBorder="1" applyAlignment="1">
      <alignment horizontal="center" vertical="center" wrapText="1"/>
    </xf>
    <xf numFmtId="0" fontId="7" fillId="0" borderId="10" xfId="6" applyFont="1" applyFill="1" applyBorder="1" applyAlignment="1">
      <alignment horizontal="center" vertical="center" wrapText="1"/>
    </xf>
    <xf numFmtId="0" fontId="7" fillId="0" borderId="11" xfId="6" applyFont="1" applyFill="1" applyBorder="1" applyAlignment="1">
      <alignment horizontal="center" vertical="center" wrapText="1"/>
    </xf>
    <xf numFmtId="0" fontId="4" fillId="0" borderId="12" xfId="25" applyFont="1" applyFill="1" applyBorder="1" applyAlignment="1">
      <alignment horizontal="center" vertical="center"/>
    </xf>
    <xf numFmtId="0" fontId="4" fillId="0" borderId="13" xfId="25" applyFont="1" applyFill="1" applyBorder="1" applyAlignment="1">
      <alignment horizontal="center" vertical="center"/>
    </xf>
    <xf numFmtId="49" fontId="3" fillId="0" borderId="2" xfId="40" applyNumberFormat="1" applyFont="1" applyBorder="1" applyAlignment="1">
      <alignment horizontal="center" vertical="top" wrapText="1"/>
    </xf>
    <xf numFmtId="49" fontId="3" fillId="0" borderId="3" xfId="40" applyNumberFormat="1" applyFont="1" applyBorder="1" applyAlignment="1">
      <alignment horizontal="center" vertical="top" wrapText="1"/>
    </xf>
    <xf numFmtId="49" fontId="3" fillId="0" borderId="0" xfId="40" applyNumberFormat="1" applyFont="1" applyBorder="1" applyAlignment="1">
      <alignment horizontal="center" vertical="top" wrapText="1"/>
    </xf>
    <xf numFmtId="49" fontId="3" fillId="0" borderId="5" xfId="40" applyNumberFormat="1" applyFont="1" applyBorder="1" applyAlignment="1">
      <alignment horizontal="center" vertical="top" wrapText="1"/>
    </xf>
    <xf numFmtId="0" fontId="4" fillId="0" borderId="6" xfId="33" applyFont="1" applyBorder="1" applyAlignment="1">
      <alignment horizontal="center" vertical="center" wrapText="1"/>
    </xf>
    <xf numFmtId="0" fontId="4" fillId="0" borderId="7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 wrapText="1"/>
    </xf>
    <xf numFmtId="0" fontId="6" fillId="2" borderId="4" xfId="40" applyFont="1" applyFill="1" applyBorder="1" applyAlignment="1">
      <alignment horizontal="center" vertical="center"/>
    </xf>
    <xf numFmtId="0" fontId="6" fillId="2" borderId="0" xfId="40" applyFont="1" applyFill="1" applyBorder="1" applyAlignment="1">
      <alignment horizontal="center" vertical="center"/>
    </xf>
    <xf numFmtId="0" fontId="6" fillId="2" borderId="5" xfId="40" applyFont="1" applyFill="1" applyBorder="1" applyAlignment="1">
      <alignment horizontal="center" vertical="center"/>
    </xf>
    <xf numFmtId="0" fontId="4" fillId="2" borderId="12" xfId="40" applyFont="1" applyFill="1" applyBorder="1" applyAlignment="1">
      <alignment horizontal="center" vertical="center"/>
    </xf>
    <xf numFmtId="0" fontId="4" fillId="2" borderId="13" xfId="40" applyFont="1" applyFill="1" applyBorder="1" applyAlignment="1">
      <alignment horizontal="center" vertical="center"/>
    </xf>
    <xf numFmtId="43" fontId="4" fillId="0" borderId="15" xfId="40" applyNumberFormat="1" applyFont="1" applyBorder="1" applyAlignment="1">
      <alignment horizontal="center"/>
    </xf>
    <xf numFmtId="43" fontId="4" fillId="0" borderId="16" xfId="40" applyNumberFormat="1" applyFont="1" applyBorder="1" applyAlignment="1">
      <alignment horizontal="center"/>
    </xf>
    <xf numFmtId="43" fontId="4" fillId="0" borderId="17" xfId="40" applyNumberFormat="1" applyFont="1" applyBorder="1" applyAlignment="1">
      <alignment horizontal="center"/>
    </xf>
    <xf numFmtId="0" fontId="4" fillId="2" borderId="14" xfId="40" applyFont="1" applyFill="1" applyBorder="1" applyAlignment="1">
      <alignment horizontal="center" vertical="center"/>
    </xf>
  </cellXfs>
  <cellStyles count="74">
    <cellStyle name="Moeda 2" xfId="8"/>
    <cellStyle name="Moeda 2 2" xfId="3"/>
    <cellStyle name="Moeda 2 3" xfId="20"/>
    <cellStyle name="Moeda 2 4" xfId="22"/>
    <cellStyle name="Moeda 3" xfId="12"/>
    <cellStyle name="Normal" xfId="0" builtinId="0"/>
    <cellStyle name="Normal 11" xfId="19"/>
    <cellStyle name="Normal 11 2" xfId="6"/>
    <cellStyle name="Normal 11 3" xfId="23"/>
    <cellStyle name="Normal 11 4" xfId="24"/>
    <cellStyle name="Normal 11 5" xfId="10"/>
    <cellStyle name="Normal 11 6" xfId="14"/>
    <cellStyle name="Normal 11 7" xfId="15"/>
    <cellStyle name="Normal 2" xfId="4"/>
    <cellStyle name="Normal 2 10" xfId="21"/>
    <cellStyle name="Normal 2 2" xfId="26"/>
    <cellStyle name="Normal 2 2 2" xfId="25"/>
    <cellStyle name="Normal 2 2 3" xfId="9"/>
    <cellStyle name="Normal 2 2 4" xfId="13"/>
    <cellStyle name="Normal 2 2 5" xfId="17"/>
    <cellStyle name="Normal 2 2 6" xfId="27"/>
    <cellStyle name="Normal 2 2 7" xfId="29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" xfId="38"/>
    <cellStyle name="Normal 3 2" xfId="2"/>
    <cellStyle name="Normal 3 3" xfId="18"/>
    <cellStyle name="Normal 3 4" xfId="7"/>
    <cellStyle name="Normal 3 5" xfId="11"/>
    <cellStyle name="Normal 3 6" xfId="39"/>
    <cellStyle name="Normal 4" xfId="40"/>
    <cellStyle name="Normal 6" xfId="41"/>
    <cellStyle name="Normal 6 2" xfId="42"/>
    <cellStyle name="Normal 6 3" xfId="43"/>
    <cellStyle name="Normal 6 4" xfId="44"/>
    <cellStyle name="Normal 6 5" xfId="45"/>
    <cellStyle name="Normal 6 6" xfId="46"/>
    <cellStyle name="Normal_Pesquisa no referencial 10 de maio de 2013" xfId="47"/>
    <cellStyle name="Porcentagem" xfId="1" builtinId="5"/>
    <cellStyle name="Porcentagem 2" xfId="48"/>
    <cellStyle name="Porcentagem 2 2" xfId="49"/>
    <cellStyle name="Porcentagem 2 3" xfId="50"/>
    <cellStyle name="Porcentagem 2 4" xfId="51"/>
    <cellStyle name="Separador de milhares 2" xfId="52"/>
    <cellStyle name="Separador de milhares 2 2" xfId="53"/>
    <cellStyle name="Separador de milhares 2 2 2" xfId="54"/>
    <cellStyle name="Separador de milhares 2 2 3" xfId="55"/>
    <cellStyle name="Separador de milhares 2 2 4" xfId="56"/>
    <cellStyle name="Separador de milhares 2 2 5" xfId="57"/>
    <cellStyle name="Separador de milhares 2 2 6" xfId="58"/>
    <cellStyle name="Separador de milhares 2 3" xfId="59"/>
    <cellStyle name="Separador de milhares 2 4" xfId="60"/>
    <cellStyle name="Separador de milhares 2 5" xfId="61"/>
    <cellStyle name="Separador de milhares 2 6" xfId="62"/>
    <cellStyle name="Separador de milhares 2 7" xfId="63"/>
    <cellStyle name="Separador de milhares 2 8" xfId="64"/>
    <cellStyle name="Separador de milhares 2 9" xfId="65"/>
    <cellStyle name="Vírgula 2" xfId="66"/>
    <cellStyle name="Vírgula 2 2" xfId="67"/>
    <cellStyle name="Vírgula 2 3" xfId="68"/>
    <cellStyle name="Vírgula 2 4" xfId="5"/>
    <cellStyle name="Vírgula 2 5" xfId="69"/>
    <cellStyle name="Vírgula 2 6" xfId="70"/>
    <cellStyle name="Vírgula 6" xfId="71"/>
    <cellStyle name="Vírgula 6 2" xfId="16"/>
    <cellStyle name="Vírgula 6 3" xfId="28"/>
    <cellStyle name="Vírgula 6 4" xfId="30"/>
    <cellStyle name="Vírgula 6 5" xfId="72"/>
    <cellStyle name="Vírgula 6 6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165735</xdr:rowOff>
    </xdr:from>
    <xdr:to>
      <xdr:col>3</xdr:col>
      <xdr:colOff>321766</xdr:colOff>
      <xdr:row>2</xdr:row>
      <xdr:rowOff>86473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0" y="165735"/>
          <a:ext cx="2740660" cy="37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3</xdr:col>
      <xdr:colOff>613834</xdr:colOff>
      <xdr:row>2</xdr:row>
      <xdr:rowOff>104775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8100" y="44450"/>
          <a:ext cx="3232785" cy="3841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66675</xdr:rowOff>
    </xdr:from>
    <xdr:to>
      <xdr:col>2</xdr:col>
      <xdr:colOff>942975</xdr:colOff>
      <xdr:row>3</xdr:row>
      <xdr:rowOff>66675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61925" y="66675"/>
          <a:ext cx="2552700" cy="4857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" y="0"/>
          <a:ext cx="1733550" cy="456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92075</xdr:colOff>
      <xdr:row>0</xdr:row>
      <xdr:rowOff>109855</xdr:rowOff>
    </xdr:from>
    <xdr:to>
      <xdr:col>1</xdr:col>
      <xdr:colOff>1679875</xdr:colOff>
      <xdr:row>2</xdr:row>
      <xdr:rowOff>116146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2075" y="109855"/>
          <a:ext cx="2882900" cy="367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</xdr:colOff>
      <xdr:row>1</xdr:row>
      <xdr:rowOff>95250</xdr:rowOff>
    </xdr:from>
    <xdr:to>
      <xdr:col>2</xdr:col>
      <xdr:colOff>267335</xdr:colOff>
      <xdr:row>4</xdr:row>
      <xdr:rowOff>38100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40" y="266700"/>
          <a:ext cx="263969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9525</xdr:colOff>
      <xdr:row>1</xdr:row>
      <xdr:rowOff>8890</xdr:rowOff>
    </xdr:from>
    <xdr:to>
      <xdr:col>6</xdr:col>
      <xdr:colOff>1078230</xdr:colOff>
      <xdr:row>6</xdr:row>
      <xdr:rowOff>9525</xdr:rowOff>
    </xdr:to>
    <xdr:sp macro="" textlink="">
      <xdr:nvSpPr>
        <xdr:cNvPr id="3" name="CaixaDeTexto 1"/>
        <xdr:cNvSpPr txBox="1"/>
      </xdr:nvSpPr>
      <xdr:spPr>
        <a:xfrm>
          <a:off x="609600" y="180340"/>
          <a:ext cx="7012305" cy="8102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1" baseline="0"/>
            <a:t>			 </a:t>
          </a:r>
          <a:r>
            <a:rPr lang="pt-BR" sz="1000" b="1"/>
            <a:t>Ministério do Desenvolvimento Regional – MDR</a:t>
          </a:r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GRD/UIP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3</xdr:row>
      <xdr:rowOff>38100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7625" y="47625"/>
          <a:ext cx="24288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mazenamento/2&#170;_GRD/01-ANOS%20ANTERIORES/2021/07-LICITA&#199;&#213;ES%202021/10-CONSTRU&#199;&#195;O%20DE%20DIVERSAS%20PRA&#199;AS/01-CD%20LICITA&#199;&#195;O/01-PE&#199;AS%20EDIT&#193;VEIS/Planilha%20Or&#231;ament&#225;ria_FIN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- BAIANÓPOLIS"/>
      <sheetName val="Cronograma - BAIANÓPOLIS"/>
      <sheetName val="MC - Baianópolis"/>
      <sheetName val="Mobilização - BAIANÓPOLIS"/>
      <sheetName val="Planilha - IBOTIRAMA"/>
      <sheetName val="Cronograma - IBOTIRAMA"/>
      <sheetName val="MC - Ibotirama"/>
      <sheetName val="Mobilização - IBOTIRAMA"/>
      <sheetName val="Planilha - ILHÉUS"/>
      <sheetName val="Cronograma - ILHÉUS"/>
      <sheetName val="MC - Ilhéus"/>
      <sheetName val="Mobilização - ILHÉUS"/>
      <sheetName val="Planilha - LIVRAMENTO"/>
      <sheetName val="Cronograma - LIVRAMENTO"/>
      <sheetName val="MC - Livramento"/>
      <sheetName val="Mobilização - LIVRAMENTO"/>
      <sheetName val="Planilha - PORTO SEGURO"/>
      <sheetName val="Cronograma - PORTO SEGURO"/>
      <sheetName val="MC - Porto Seguro"/>
      <sheetName val="Mobilização - PORTO SEGURO"/>
      <sheetName val="MC - Material asfáltico"/>
      <sheetName val="CPU 01 - SERVIÇOS PRELIMINARES"/>
      <sheetName val="CPU 02"/>
      <sheetName val="BDI"/>
      <sheetName val="BDI - FORNECIMENTO "/>
      <sheetName val="ENC SOCIAIS"/>
    </sheetNames>
    <sheetDataSet>
      <sheetData sheetId="0"/>
      <sheetData sheetId="1" refreshError="1"/>
      <sheetData sheetId="2" refreshError="1"/>
      <sheetData sheetId="3" refreshError="1"/>
      <sheetData sheetId="4">
        <row r="106">
          <cell r="J106">
            <v>299987.38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>
        <row r="52">
          <cell r="F52">
            <v>1.1447000000000001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8"/>
  <sheetViews>
    <sheetView tabSelected="1" showOutlineSymbols="0" showWhiteSpace="0" view="pageBreakPreview" zoomScale="90" workbookViewId="0">
      <selection activeCell="A5" sqref="A5:I5"/>
    </sheetView>
  </sheetViews>
  <sheetFormatPr defaultColWidth="9" defaultRowHeight="14.25"/>
  <cols>
    <col min="1" max="2" width="10" customWidth="1"/>
    <col min="3" max="3" width="13.25" customWidth="1"/>
    <col min="4" max="4" width="60" customWidth="1"/>
    <col min="5" max="5" width="8" customWidth="1"/>
    <col min="6" max="9" width="13" customWidth="1"/>
    <col min="10" max="11" width="9" style="280"/>
  </cols>
  <sheetData>
    <row r="1" spans="1:13" ht="15" customHeight="1">
      <c r="A1" s="131"/>
      <c r="B1" s="281"/>
      <c r="C1" s="281"/>
      <c r="D1" s="327" t="s">
        <v>0</v>
      </c>
      <c r="E1" s="327"/>
      <c r="F1" s="327"/>
      <c r="G1" s="328"/>
      <c r="H1" s="328"/>
      <c r="I1" s="329"/>
    </row>
    <row r="2" spans="1:13" ht="21" customHeight="1">
      <c r="A2" s="132"/>
      <c r="B2" s="282"/>
      <c r="C2" s="282"/>
      <c r="D2" s="330" t="s">
        <v>1</v>
      </c>
      <c r="E2" s="330"/>
      <c r="F2" s="330"/>
      <c r="G2" s="331"/>
      <c r="H2" s="331"/>
      <c r="I2" s="332"/>
    </row>
    <row r="3" spans="1:13" ht="19.5" customHeight="1">
      <c r="A3" s="132"/>
      <c r="B3" s="282"/>
      <c r="C3" s="282"/>
      <c r="D3" s="330" t="s">
        <v>2</v>
      </c>
      <c r="E3" s="330"/>
      <c r="F3" s="330"/>
      <c r="G3" s="331"/>
      <c r="H3" s="331"/>
      <c r="I3" s="332"/>
    </row>
    <row r="4" spans="1:13" ht="19.5" customHeight="1">
      <c r="A4" s="283"/>
      <c r="B4" s="284"/>
      <c r="C4" s="284"/>
      <c r="D4" s="285"/>
      <c r="E4" s="286"/>
      <c r="F4" s="287"/>
      <c r="G4" s="288"/>
      <c r="H4" s="288"/>
      <c r="I4" s="318"/>
    </row>
    <row r="5" spans="1:13" ht="42.75" customHeight="1">
      <c r="A5" s="333" t="s">
        <v>3</v>
      </c>
      <c r="B5" s="334"/>
      <c r="C5" s="334"/>
      <c r="D5" s="334"/>
      <c r="E5" s="334"/>
      <c r="F5" s="334"/>
      <c r="G5" s="335"/>
      <c r="H5" s="335"/>
      <c r="I5" s="336"/>
    </row>
    <row r="6" spans="1:13" ht="19.5" customHeight="1">
      <c r="A6" s="289"/>
      <c r="B6" s="290"/>
      <c r="C6" s="290"/>
      <c r="D6" s="291"/>
      <c r="E6" s="291"/>
      <c r="F6" s="292"/>
      <c r="G6" s="293"/>
      <c r="H6" s="293"/>
      <c r="I6" s="319"/>
    </row>
    <row r="7" spans="1:13" ht="19.5" customHeight="1">
      <c r="A7" s="337" t="s">
        <v>4</v>
      </c>
      <c r="B7" s="338"/>
      <c r="C7" s="338"/>
      <c r="D7" s="294">
        <f>BDI!D36</f>
        <v>0.227957675415105</v>
      </c>
      <c r="E7" s="338" t="s">
        <v>5</v>
      </c>
      <c r="F7" s="338"/>
      <c r="G7" s="295">
        <f>'[1]ENC SOCIAIS'!F52</f>
        <v>1.1447000000000001</v>
      </c>
      <c r="H7" s="296"/>
      <c r="I7" s="320"/>
    </row>
    <row r="8" spans="1:13" ht="19.5" customHeight="1">
      <c r="A8" s="337"/>
      <c r="B8" s="338"/>
      <c r="C8" s="338"/>
      <c r="D8" s="294"/>
      <c r="E8" s="294"/>
      <c r="F8" s="297"/>
      <c r="G8" s="298"/>
      <c r="H8" s="298"/>
      <c r="I8" s="321"/>
    </row>
    <row r="9" spans="1:13" ht="19.5" customHeight="1">
      <c r="A9" s="299" t="s">
        <v>6</v>
      </c>
      <c r="B9" s="339" t="s">
        <v>7</v>
      </c>
      <c r="C9" s="339"/>
      <c r="D9" s="339"/>
      <c r="E9" s="297"/>
      <c r="F9" s="297"/>
      <c r="G9" s="298"/>
      <c r="H9" s="298"/>
      <c r="I9" s="321"/>
    </row>
    <row r="10" spans="1:13" ht="19.5" customHeight="1">
      <c r="A10" s="340" t="s">
        <v>8</v>
      </c>
      <c r="B10" s="341"/>
      <c r="C10" s="341"/>
      <c r="D10" s="342"/>
      <c r="E10" s="341"/>
      <c r="F10" s="341"/>
      <c r="G10" s="343"/>
      <c r="H10" s="343"/>
      <c r="I10" s="344"/>
    </row>
    <row r="11" spans="1:13" ht="30" customHeight="1">
      <c r="A11" s="300" t="s">
        <v>9</v>
      </c>
      <c r="B11" s="301" t="s">
        <v>10</v>
      </c>
      <c r="C11" s="302" t="s">
        <v>11</v>
      </c>
      <c r="D11" s="302" t="s">
        <v>12</v>
      </c>
      <c r="E11" s="303" t="s">
        <v>13</v>
      </c>
      <c r="F11" s="301" t="s">
        <v>14</v>
      </c>
      <c r="G11" s="301" t="s">
        <v>15</v>
      </c>
      <c r="H11" s="301" t="s">
        <v>16</v>
      </c>
      <c r="I11" s="322" t="s">
        <v>17</v>
      </c>
    </row>
    <row r="12" spans="1:13">
      <c r="A12" s="304">
        <v>1</v>
      </c>
      <c r="B12" s="305"/>
      <c r="C12" s="305"/>
      <c r="D12" s="305" t="s">
        <v>18</v>
      </c>
      <c r="E12" s="305"/>
      <c r="F12" s="306"/>
      <c r="G12" s="305"/>
      <c r="H12" s="305"/>
      <c r="I12" s="323">
        <f>SUM(I13:I18)</f>
        <v>37771.360000000001</v>
      </c>
    </row>
    <row r="13" spans="1:13">
      <c r="A13" s="307" t="s">
        <v>19</v>
      </c>
      <c r="B13" s="308" t="s">
        <v>20</v>
      </c>
      <c r="C13" s="309" t="s">
        <v>21</v>
      </c>
      <c r="D13" s="309" t="s">
        <v>22</v>
      </c>
      <c r="E13" s="310" t="s">
        <v>23</v>
      </c>
      <c r="F13" s="311">
        <f>'Memória de Cálculo'!D10</f>
        <v>6.48</v>
      </c>
      <c r="G13" s="311">
        <f>'CPU 01 - SERVIÇOS PRELIMINARES'!H41</f>
        <v>410.6</v>
      </c>
      <c r="H13" s="311">
        <f>ROUND(G13*(1+$D$7),2)</f>
        <v>504.2</v>
      </c>
      <c r="I13" s="324">
        <f t="shared" ref="I13" si="0">ROUND(H13*F13,2)</f>
        <v>3267.22</v>
      </c>
    </row>
    <row r="14" spans="1:13">
      <c r="A14" s="307" t="s">
        <v>24</v>
      </c>
      <c r="B14" s="308" t="s">
        <v>25</v>
      </c>
      <c r="C14" s="309" t="s">
        <v>21</v>
      </c>
      <c r="D14" s="309" t="s">
        <v>26</v>
      </c>
      <c r="E14" s="310" t="s">
        <v>27</v>
      </c>
      <c r="F14" s="312">
        <f>'Memória de Cálculo'!D11</f>
        <v>1</v>
      </c>
      <c r="G14" s="311">
        <f>'CPU 01 - SERVIÇOS PRELIMINARES'!H16*4</f>
        <v>17039.84</v>
      </c>
      <c r="H14" s="311">
        <f t="shared" ref="H14:H18" si="1">ROUND(G14*(1+$D$7),2)</f>
        <v>20924.2</v>
      </c>
      <c r="I14" s="324">
        <f t="shared" ref="I14:I18" si="2">ROUND(H14*F14,2)</f>
        <v>20924.2</v>
      </c>
      <c r="K14" s="280" t="s">
        <v>28</v>
      </c>
      <c r="M14">
        <f>H14/H62</f>
        <v>6.8973116992405298E-2</v>
      </c>
    </row>
    <row r="15" spans="1:13">
      <c r="A15" s="307" t="s">
        <v>29</v>
      </c>
      <c r="B15" s="308" t="s">
        <v>30</v>
      </c>
      <c r="C15" s="309" t="s">
        <v>21</v>
      </c>
      <c r="D15" s="309" t="s">
        <v>31</v>
      </c>
      <c r="E15" s="310" t="s">
        <v>32</v>
      </c>
      <c r="F15" s="311">
        <f>'Memória de Cálculo'!D12</f>
        <v>1</v>
      </c>
      <c r="G15" s="311">
        <f>'CPU 01 - SERVIÇOS PRELIMINARES'!H26</f>
        <v>2505.67</v>
      </c>
      <c r="H15" s="311">
        <f t="shared" si="1"/>
        <v>3076.86</v>
      </c>
      <c r="I15" s="324">
        <f t="shared" si="2"/>
        <v>3076.86</v>
      </c>
    </row>
    <row r="16" spans="1:13">
      <c r="A16" s="307" t="s">
        <v>33</v>
      </c>
      <c r="B16" s="308" t="s">
        <v>30</v>
      </c>
      <c r="C16" s="309" t="s">
        <v>21</v>
      </c>
      <c r="D16" s="309" t="s">
        <v>34</v>
      </c>
      <c r="E16" s="310" t="s">
        <v>32</v>
      </c>
      <c r="F16" s="311">
        <f>'Memória de Cálculo'!D13</f>
        <v>1</v>
      </c>
      <c r="G16" s="311">
        <f>'CPU 01 - SERVIÇOS PRELIMINARES'!H26</f>
        <v>2505.67</v>
      </c>
      <c r="H16" s="311">
        <f t="shared" si="1"/>
        <v>3076.86</v>
      </c>
      <c r="I16" s="324">
        <f t="shared" si="2"/>
        <v>3076.86</v>
      </c>
    </row>
    <row r="17" spans="1:10">
      <c r="A17" s="307" t="s">
        <v>35</v>
      </c>
      <c r="B17" s="308" t="s">
        <v>36</v>
      </c>
      <c r="C17" s="309" t="s">
        <v>37</v>
      </c>
      <c r="D17" s="309" t="s">
        <v>38</v>
      </c>
      <c r="E17" s="310" t="s">
        <v>39</v>
      </c>
      <c r="F17" s="311">
        <f>'Memória de Cálculo'!D14</f>
        <v>4</v>
      </c>
      <c r="G17" s="311">
        <v>1300</v>
      </c>
      <c r="H17" s="311">
        <f t="shared" si="1"/>
        <v>1596.34</v>
      </c>
      <c r="I17" s="324">
        <f t="shared" si="2"/>
        <v>6385.36</v>
      </c>
    </row>
    <row r="18" spans="1:10">
      <c r="A18" s="307" t="s">
        <v>40</v>
      </c>
      <c r="B18" s="308" t="s">
        <v>41</v>
      </c>
      <c r="C18" s="309" t="s">
        <v>21</v>
      </c>
      <c r="D18" s="309" t="s">
        <v>42</v>
      </c>
      <c r="E18" s="310" t="s">
        <v>23</v>
      </c>
      <c r="F18" s="311">
        <f>'Memória de Cálculo'!D15</f>
        <v>2001.66</v>
      </c>
      <c r="G18" s="311">
        <f>'CPU 01 - SERVIÇOS PRELIMINARES'!H52</f>
        <v>0.42</v>
      </c>
      <c r="H18" s="311">
        <f t="shared" si="1"/>
        <v>0.52</v>
      </c>
      <c r="I18" s="324">
        <f t="shared" si="2"/>
        <v>1040.8599999999999</v>
      </c>
    </row>
    <row r="19" spans="1:10">
      <c r="A19" s="304">
        <v>2</v>
      </c>
      <c r="B19" s="305"/>
      <c r="C19" s="305"/>
      <c r="D19" s="305" t="s">
        <v>43</v>
      </c>
      <c r="E19" s="305"/>
      <c r="F19" s="313"/>
      <c r="G19" s="305"/>
      <c r="H19" s="305"/>
      <c r="I19" s="323">
        <f>SUM(I20:I20)</f>
        <v>1120.93</v>
      </c>
    </row>
    <row r="20" spans="1:10" ht="25.5">
      <c r="A20" s="307" t="s">
        <v>44</v>
      </c>
      <c r="B20" s="308">
        <v>98525</v>
      </c>
      <c r="C20" s="309" t="s">
        <v>45</v>
      </c>
      <c r="D20" s="309" t="s">
        <v>46</v>
      </c>
      <c r="E20" s="310" t="s">
        <v>23</v>
      </c>
      <c r="F20" s="311">
        <f>'Memória de Cálculo'!D17</f>
        <v>2001.66</v>
      </c>
      <c r="G20" s="311">
        <v>0.46</v>
      </c>
      <c r="H20" s="311">
        <f>ROUND(G20*(1+$D$7),2)</f>
        <v>0.56000000000000005</v>
      </c>
      <c r="I20" s="324">
        <f t="shared" ref="I20" si="3">ROUND(H20*F20,2)</f>
        <v>1120.93</v>
      </c>
    </row>
    <row r="21" spans="1:10">
      <c r="A21" s="304">
        <v>3</v>
      </c>
      <c r="B21" s="305"/>
      <c r="C21" s="305"/>
      <c r="D21" s="305" t="s">
        <v>47</v>
      </c>
      <c r="E21" s="305"/>
      <c r="F21" s="313"/>
      <c r="G21" s="305"/>
      <c r="H21" s="305"/>
      <c r="I21" s="323">
        <f>SUM(I22:I32)</f>
        <v>149983.75</v>
      </c>
    </row>
    <row r="22" spans="1:10">
      <c r="A22" s="314" t="s">
        <v>48</v>
      </c>
      <c r="B22" s="315"/>
      <c r="C22" s="315"/>
      <c r="D22" s="315" t="s">
        <v>49</v>
      </c>
      <c r="E22" s="315"/>
      <c r="F22" s="316"/>
      <c r="G22" s="315"/>
      <c r="H22" s="315"/>
      <c r="I22" s="325"/>
    </row>
    <row r="23" spans="1:10" ht="25.5">
      <c r="A23" s="307" t="s">
        <v>50</v>
      </c>
      <c r="B23" s="308" t="s">
        <v>51</v>
      </c>
      <c r="C23" s="309" t="s">
        <v>21</v>
      </c>
      <c r="D23" s="309" t="s">
        <v>52</v>
      </c>
      <c r="E23" s="310" t="s">
        <v>23</v>
      </c>
      <c r="F23" s="311">
        <f>'Memória de Cálculo'!D20</f>
        <v>727.03</v>
      </c>
      <c r="G23" s="311">
        <f>'CPU 02'!H25</f>
        <v>57.08</v>
      </c>
      <c r="H23" s="311">
        <f t="shared" ref="H23:H24" si="4">ROUND(G23*(1+$D$7),2)</f>
        <v>70.09</v>
      </c>
      <c r="I23" s="324">
        <f t="shared" ref="I23:I24" si="5">ROUND(H23*F23,2)</f>
        <v>50957.53</v>
      </c>
      <c r="J23" s="326"/>
    </row>
    <row r="24" spans="1:10" ht="25.5">
      <c r="A24" s="307" t="s">
        <v>53</v>
      </c>
      <c r="B24" s="308">
        <v>102491</v>
      </c>
      <c r="C24" s="309" t="s">
        <v>45</v>
      </c>
      <c r="D24" s="309" t="s">
        <v>54</v>
      </c>
      <c r="E24" s="310" t="s">
        <v>23</v>
      </c>
      <c r="F24" s="311">
        <f>'Memória de Cálculo'!D21</f>
        <v>492.49</v>
      </c>
      <c r="G24" s="311">
        <v>18.649999999999999</v>
      </c>
      <c r="H24" s="311">
        <f t="shared" si="4"/>
        <v>22.9</v>
      </c>
      <c r="I24" s="324">
        <f t="shared" si="5"/>
        <v>11278.02</v>
      </c>
      <c r="J24" s="326"/>
    </row>
    <row r="25" spans="1:10">
      <c r="A25" s="314" t="s">
        <v>55</v>
      </c>
      <c r="B25" s="315"/>
      <c r="C25" s="315"/>
      <c r="D25" s="315" t="s">
        <v>56</v>
      </c>
      <c r="E25" s="315"/>
      <c r="F25" s="316"/>
      <c r="G25" s="315"/>
      <c r="H25" s="315"/>
      <c r="I25" s="325"/>
      <c r="J25" s="326"/>
    </row>
    <row r="26" spans="1:10" ht="38.25">
      <c r="A26" s="307" t="s">
        <v>57</v>
      </c>
      <c r="B26" s="308" t="s">
        <v>58</v>
      </c>
      <c r="C26" s="309" t="s">
        <v>45</v>
      </c>
      <c r="D26" s="309" t="s">
        <v>59</v>
      </c>
      <c r="E26" s="310" t="s">
        <v>23</v>
      </c>
      <c r="F26" s="311">
        <f>'Memória de Cálculo'!D23</f>
        <v>381.98</v>
      </c>
      <c r="G26" s="311">
        <v>85.86</v>
      </c>
      <c r="H26" s="311">
        <f t="shared" ref="H26:H32" si="6">ROUND(G26*(1+$D$7),2)</f>
        <v>105.43</v>
      </c>
      <c r="I26" s="324">
        <f t="shared" ref="I26:I32" si="7">ROUND(H26*F26,2)</f>
        <v>40272.15</v>
      </c>
    </row>
    <row r="27" spans="1:10" ht="38.25">
      <c r="A27" s="307" t="s">
        <v>60</v>
      </c>
      <c r="B27" s="308">
        <v>7324</v>
      </c>
      <c r="C27" s="309" t="s">
        <v>45</v>
      </c>
      <c r="D27" s="309" t="s">
        <v>61</v>
      </c>
      <c r="E27" s="310" t="s">
        <v>23</v>
      </c>
      <c r="F27" s="311">
        <v>65.540000000000006</v>
      </c>
      <c r="G27" s="311">
        <v>104.28</v>
      </c>
      <c r="H27" s="311">
        <f t="shared" si="6"/>
        <v>128.05000000000001</v>
      </c>
      <c r="I27" s="324">
        <f t="shared" si="7"/>
        <v>8392.4</v>
      </c>
    </row>
    <row r="28" spans="1:10">
      <c r="A28" s="307" t="s">
        <v>62</v>
      </c>
      <c r="B28" s="308" t="s">
        <v>63</v>
      </c>
      <c r="C28" s="309" t="s">
        <v>21</v>
      </c>
      <c r="D28" s="309" t="s">
        <v>64</v>
      </c>
      <c r="E28" s="310" t="s">
        <v>65</v>
      </c>
      <c r="F28" s="311">
        <f>'Memória de Cálculo'!D25</f>
        <v>0.3</v>
      </c>
      <c r="G28" s="311">
        <f>'CPU 02'!H39</f>
        <v>891.99410999999998</v>
      </c>
      <c r="H28" s="311">
        <f t="shared" si="6"/>
        <v>1095.33</v>
      </c>
      <c r="I28" s="324">
        <f t="shared" si="7"/>
        <v>328.6</v>
      </c>
    </row>
    <row r="29" spans="1:10" ht="25.5">
      <c r="A29" s="307" t="s">
        <v>66</v>
      </c>
      <c r="B29" s="308">
        <v>93358</v>
      </c>
      <c r="C29" s="309" t="s">
        <v>45</v>
      </c>
      <c r="D29" s="309" t="s">
        <v>67</v>
      </c>
      <c r="E29" s="310" t="s">
        <v>65</v>
      </c>
      <c r="F29" s="311">
        <f>'Memória de Cálculo'!D26</f>
        <v>15.023025000000001</v>
      </c>
      <c r="G29" s="311">
        <v>78.8</v>
      </c>
      <c r="H29" s="311">
        <f t="shared" si="6"/>
        <v>96.76</v>
      </c>
      <c r="I29" s="324">
        <f t="shared" si="7"/>
        <v>1453.63</v>
      </c>
    </row>
    <row r="30" spans="1:10" ht="25.5">
      <c r="A30" s="307" t="s">
        <v>68</v>
      </c>
      <c r="B30" s="308">
        <v>95240</v>
      </c>
      <c r="C30" s="309" t="s">
        <v>45</v>
      </c>
      <c r="D30" s="309" t="s">
        <v>69</v>
      </c>
      <c r="E30" s="310" t="s">
        <v>23</v>
      </c>
      <c r="F30" s="311">
        <f>'Memória de Cálculo'!D27</f>
        <v>100.15349999999999</v>
      </c>
      <c r="G30" s="311">
        <v>19.809999999999999</v>
      </c>
      <c r="H30" s="311">
        <f t="shared" si="6"/>
        <v>24.33</v>
      </c>
      <c r="I30" s="324">
        <f t="shared" si="7"/>
        <v>2436.73</v>
      </c>
    </row>
    <row r="31" spans="1:10" ht="51">
      <c r="A31" s="307" t="s">
        <v>70</v>
      </c>
      <c r="B31" s="308">
        <v>94279</v>
      </c>
      <c r="C31" s="309" t="s">
        <v>45</v>
      </c>
      <c r="D31" s="309" t="s">
        <v>71</v>
      </c>
      <c r="E31" s="310" t="s">
        <v>72</v>
      </c>
      <c r="F31" s="311">
        <f>'Memória de Cálculo'!D28</f>
        <v>236.42</v>
      </c>
      <c r="G31" s="311">
        <v>39.74</v>
      </c>
      <c r="H31" s="311">
        <f t="shared" si="6"/>
        <v>48.8</v>
      </c>
      <c r="I31" s="324">
        <f t="shared" si="7"/>
        <v>11537.3</v>
      </c>
    </row>
    <row r="32" spans="1:10" ht="51">
      <c r="A32" s="307" t="s">
        <v>73</v>
      </c>
      <c r="B32" s="308">
        <v>94280</v>
      </c>
      <c r="C32" s="309" t="s">
        <v>45</v>
      </c>
      <c r="D32" s="309" t="s">
        <v>74</v>
      </c>
      <c r="E32" s="310" t="s">
        <v>72</v>
      </c>
      <c r="F32" s="311">
        <f>'Memória de Cálculo'!D29</f>
        <v>431.27</v>
      </c>
      <c r="G32" s="311">
        <v>44.05</v>
      </c>
      <c r="H32" s="311">
        <f t="shared" si="6"/>
        <v>54.09</v>
      </c>
      <c r="I32" s="324">
        <f t="shared" si="7"/>
        <v>23327.39</v>
      </c>
    </row>
    <row r="33" spans="1:9">
      <c r="A33" s="304">
        <v>4</v>
      </c>
      <c r="B33" s="305"/>
      <c r="C33" s="305"/>
      <c r="D33" s="305" t="s">
        <v>75</v>
      </c>
      <c r="E33" s="305"/>
      <c r="F33" s="313"/>
      <c r="G33" s="305"/>
      <c r="H33" s="305"/>
      <c r="I33" s="323">
        <f>SUM(I34:I45)</f>
        <v>40493.560000000005</v>
      </c>
    </row>
    <row r="34" spans="1:9">
      <c r="A34" s="314" t="s">
        <v>76</v>
      </c>
      <c r="B34" s="315"/>
      <c r="C34" s="315"/>
      <c r="D34" s="315" t="s">
        <v>77</v>
      </c>
      <c r="E34" s="315"/>
      <c r="F34" s="316"/>
      <c r="G34" s="315"/>
      <c r="H34" s="315"/>
      <c r="I34" s="325"/>
    </row>
    <row r="35" spans="1:9" ht="25.5">
      <c r="A35" s="307" t="s">
        <v>78</v>
      </c>
      <c r="B35" s="308" t="s">
        <v>79</v>
      </c>
      <c r="C35" s="309" t="s">
        <v>45</v>
      </c>
      <c r="D35" s="309" t="s">
        <v>80</v>
      </c>
      <c r="E35" s="310" t="s">
        <v>23</v>
      </c>
      <c r="F35" s="311">
        <f>'Memória de Cálculo'!D32</f>
        <v>242.21</v>
      </c>
      <c r="G35" s="311">
        <v>17.59</v>
      </c>
      <c r="H35" s="311">
        <f t="shared" ref="H35:H40" si="8">ROUND(G35*(1+$D$7),2)</f>
        <v>21.6</v>
      </c>
      <c r="I35" s="324">
        <f t="shared" ref="I35:I40" si="9">ROUND(H35*F35,2)</f>
        <v>5231.74</v>
      </c>
    </row>
    <row r="36" spans="1:9" ht="38.25">
      <c r="A36" s="307" t="s">
        <v>81</v>
      </c>
      <c r="B36" s="308">
        <v>103315</v>
      </c>
      <c r="C36" s="309" t="s">
        <v>45</v>
      </c>
      <c r="D36" s="309" t="s">
        <v>82</v>
      </c>
      <c r="E36" s="310" t="s">
        <v>23</v>
      </c>
      <c r="F36" s="311">
        <f>'Memória de Cálculo'!D33</f>
        <v>25</v>
      </c>
      <c r="G36" s="311">
        <v>262.27</v>
      </c>
      <c r="H36" s="311">
        <f t="shared" si="8"/>
        <v>322.06</v>
      </c>
      <c r="I36" s="324">
        <f t="shared" si="9"/>
        <v>8051.5</v>
      </c>
    </row>
    <row r="37" spans="1:9" ht="25.5">
      <c r="A37" s="307" t="s">
        <v>83</v>
      </c>
      <c r="B37" s="308">
        <v>9367</v>
      </c>
      <c r="C37" s="309" t="s">
        <v>37</v>
      </c>
      <c r="D37" s="309" t="s">
        <v>84</v>
      </c>
      <c r="E37" s="310" t="s">
        <v>32</v>
      </c>
      <c r="F37" s="311">
        <f>'Memória de Cálculo'!D34</f>
        <v>5</v>
      </c>
      <c r="G37" s="311">
        <v>396.61</v>
      </c>
      <c r="H37" s="311">
        <f t="shared" si="8"/>
        <v>487.02</v>
      </c>
      <c r="I37" s="324">
        <f t="shared" si="9"/>
        <v>2435.1</v>
      </c>
    </row>
    <row r="38" spans="1:9">
      <c r="A38" s="307" t="s">
        <v>85</v>
      </c>
      <c r="B38" s="308" t="s">
        <v>86</v>
      </c>
      <c r="C38" s="309" t="s">
        <v>21</v>
      </c>
      <c r="D38" s="309" t="s">
        <v>87</v>
      </c>
      <c r="E38" s="310" t="s">
        <v>32</v>
      </c>
      <c r="F38" s="311">
        <f>'Memória de Cálculo'!D35</f>
        <v>7</v>
      </c>
      <c r="G38" s="311">
        <f>'CPU 02'!H52</f>
        <v>785.53880000000004</v>
      </c>
      <c r="H38" s="311">
        <f t="shared" si="8"/>
        <v>964.61</v>
      </c>
      <c r="I38" s="324">
        <f t="shared" si="9"/>
        <v>6752.27</v>
      </c>
    </row>
    <row r="39" spans="1:9">
      <c r="A39" s="307" t="s">
        <v>88</v>
      </c>
      <c r="B39" s="308" t="s">
        <v>89</v>
      </c>
      <c r="C39" s="309" t="s">
        <v>21</v>
      </c>
      <c r="D39" s="309" t="s">
        <v>90</v>
      </c>
      <c r="E39" s="310" t="s">
        <v>91</v>
      </c>
      <c r="F39" s="311">
        <f>'Memória de Cálculo'!D36</f>
        <v>1</v>
      </c>
      <c r="G39" s="311">
        <f>'CPU 02'!H63</f>
        <v>12394.3</v>
      </c>
      <c r="H39" s="311">
        <f t="shared" si="8"/>
        <v>15219.68</v>
      </c>
      <c r="I39" s="324">
        <f t="shared" si="9"/>
        <v>15219.68</v>
      </c>
    </row>
    <row r="40" spans="1:9">
      <c r="A40" s="307" t="s">
        <v>92</v>
      </c>
      <c r="B40" s="308">
        <v>3212</v>
      </c>
      <c r="C40" s="309" t="s">
        <v>37</v>
      </c>
      <c r="D40" s="309" t="s">
        <v>93</v>
      </c>
      <c r="E40" s="310" t="s">
        <v>65</v>
      </c>
      <c r="F40" s="311">
        <f>'Memória de Cálculo'!D37</f>
        <v>5.1760000000000002</v>
      </c>
      <c r="G40" s="311">
        <v>127.43</v>
      </c>
      <c r="H40" s="311">
        <f t="shared" si="8"/>
        <v>156.47999999999999</v>
      </c>
      <c r="I40" s="324">
        <f t="shared" si="9"/>
        <v>809.94</v>
      </c>
    </row>
    <row r="41" spans="1:9">
      <c r="A41" s="314" t="s">
        <v>94</v>
      </c>
      <c r="B41" s="315"/>
      <c r="C41" s="315"/>
      <c r="D41" s="315" t="s">
        <v>95</v>
      </c>
      <c r="E41" s="315"/>
      <c r="F41" s="316"/>
      <c r="G41" s="315"/>
      <c r="H41" s="315"/>
      <c r="I41" s="325"/>
    </row>
    <row r="42" spans="1:9" ht="38.25">
      <c r="A42" s="307" t="s">
        <v>96</v>
      </c>
      <c r="B42" s="308">
        <v>103322</v>
      </c>
      <c r="C42" s="309" t="s">
        <v>45</v>
      </c>
      <c r="D42" s="309" t="s">
        <v>97</v>
      </c>
      <c r="E42" s="310" t="s">
        <v>23</v>
      </c>
      <c r="F42" s="311">
        <f>'Memória de Cálculo'!D39</f>
        <v>15.263999999999999</v>
      </c>
      <c r="G42" s="311">
        <v>56.07</v>
      </c>
      <c r="H42" s="311">
        <f t="shared" ref="H42:H45" si="10">ROUND(G42*(1+$D$7),2)</f>
        <v>68.849999999999994</v>
      </c>
      <c r="I42" s="324">
        <f t="shared" ref="I42:I45" si="11">ROUND(H42*F42,2)</f>
        <v>1050.93</v>
      </c>
    </row>
    <row r="43" spans="1:9" ht="38.25">
      <c r="A43" s="307" t="s">
        <v>98</v>
      </c>
      <c r="B43" s="308">
        <v>87893</v>
      </c>
      <c r="C43" s="309" t="s">
        <v>45</v>
      </c>
      <c r="D43" s="309" t="s">
        <v>99</v>
      </c>
      <c r="E43" s="310" t="s">
        <v>23</v>
      </c>
      <c r="F43" s="311">
        <f>'Memória de Cálculo'!D40</f>
        <v>15.263999999999999</v>
      </c>
      <c r="G43" s="311">
        <v>7.67</v>
      </c>
      <c r="H43" s="311">
        <f t="shared" si="10"/>
        <v>9.42</v>
      </c>
      <c r="I43" s="324">
        <f t="shared" si="11"/>
        <v>143.79</v>
      </c>
    </row>
    <row r="44" spans="1:9" ht="25.5">
      <c r="A44" s="307" t="s">
        <v>100</v>
      </c>
      <c r="B44" s="308">
        <v>87548</v>
      </c>
      <c r="C44" s="309" t="s">
        <v>45</v>
      </c>
      <c r="D44" s="309" t="s">
        <v>101</v>
      </c>
      <c r="E44" s="310" t="s">
        <v>23</v>
      </c>
      <c r="F44" s="311">
        <f>'Memória de Cálculo'!D41</f>
        <v>15.263999999999999</v>
      </c>
      <c r="G44" s="311">
        <v>28.13</v>
      </c>
      <c r="H44" s="311">
        <f t="shared" si="10"/>
        <v>34.54</v>
      </c>
      <c r="I44" s="324">
        <f t="shared" si="11"/>
        <v>527.22</v>
      </c>
    </row>
    <row r="45" spans="1:9">
      <c r="A45" s="307" t="s">
        <v>102</v>
      </c>
      <c r="B45" s="308">
        <v>88489</v>
      </c>
      <c r="C45" s="309" t="s">
        <v>45</v>
      </c>
      <c r="D45" s="309" t="s">
        <v>103</v>
      </c>
      <c r="E45" s="310" t="s">
        <v>23</v>
      </c>
      <c r="F45" s="311">
        <f>'Memória de Cálculo'!D42</f>
        <v>15.263999999999999</v>
      </c>
      <c r="G45" s="311">
        <v>14.48</v>
      </c>
      <c r="H45" s="311">
        <f t="shared" si="10"/>
        <v>17.78</v>
      </c>
      <c r="I45" s="324">
        <f t="shared" si="11"/>
        <v>271.39</v>
      </c>
    </row>
    <row r="46" spans="1:9">
      <c r="A46" s="304">
        <v>5</v>
      </c>
      <c r="B46" s="305"/>
      <c r="C46" s="305"/>
      <c r="D46" s="305" t="s">
        <v>104</v>
      </c>
      <c r="E46" s="305"/>
      <c r="F46" s="313"/>
      <c r="G46" s="305"/>
      <c r="H46" s="305"/>
      <c r="I46" s="323">
        <f>SUM(I47:I58)</f>
        <v>72796.87</v>
      </c>
    </row>
    <row r="47" spans="1:9" ht="25.5">
      <c r="A47" s="307" t="s">
        <v>105</v>
      </c>
      <c r="B47" s="308" t="s">
        <v>106</v>
      </c>
      <c r="C47" s="309" t="s">
        <v>21</v>
      </c>
      <c r="D47" s="309" t="s">
        <v>107</v>
      </c>
      <c r="E47" s="310" t="s">
        <v>32</v>
      </c>
      <c r="F47" s="311">
        <f>'Memória de Cálculo'!D44</f>
        <v>7</v>
      </c>
      <c r="G47" s="311">
        <f>'CPU 02'!H80</f>
        <v>5800.1044270000002</v>
      </c>
      <c r="H47" s="311">
        <f t="shared" ref="H47:H58" si="12">ROUND(G47*(1+$D$7),2)</f>
        <v>7122.28</v>
      </c>
      <c r="I47" s="324">
        <f t="shared" ref="I47:I58" si="13">ROUND(H47*F47,2)</f>
        <v>49855.96</v>
      </c>
    </row>
    <row r="48" spans="1:9" ht="25.5">
      <c r="A48" s="307" t="s">
        <v>108</v>
      </c>
      <c r="B48" s="308" t="s">
        <v>109</v>
      </c>
      <c r="C48" s="309" t="s">
        <v>45</v>
      </c>
      <c r="D48" s="309" t="s">
        <v>110</v>
      </c>
      <c r="E48" s="310" t="s">
        <v>72</v>
      </c>
      <c r="F48" s="311">
        <f>'Memória de Cálculo'!D45</f>
        <v>750</v>
      </c>
      <c r="G48" s="311">
        <v>6.9</v>
      </c>
      <c r="H48" s="311">
        <f t="shared" si="12"/>
        <v>8.4700000000000006</v>
      </c>
      <c r="I48" s="324">
        <f t="shared" si="13"/>
        <v>6352.5</v>
      </c>
    </row>
    <row r="49" spans="1:10" ht="38.25">
      <c r="A49" s="307" t="s">
        <v>111</v>
      </c>
      <c r="B49" s="308" t="s">
        <v>112</v>
      </c>
      <c r="C49" s="309" t="s">
        <v>45</v>
      </c>
      <c r="D49" s="309" t="s">
        <v>113</v>
      </c>
      <c r="E49" s="310" t="s">
        <v>72</v>
      </c>
      <c r="F49" s="311">
        <f>'Memória de Cálculo'!D46</f>
        <v>15</v>
      </c>
      <c r="G49" s="311">
        <v>8.24</v>
      </c>
      <c r="H49" s="311">
        <f t="shared" si="12"/>
        <v>10.119999999999999</v>
      </c>
      <c r="I49" s="324">
        <f t="shared" si="13"/>
        <v>151.80000000000001</v>
      </c>
      <c r="J49" s="326"/>
    </row>
    <row r="50" spans="1:10" ht="38.25">
      <c r="A50" s="307" t="s">
        <v>114</v>
      </c>
      <c r="B50" s="308" t="s">
        <v>115</v>
      </c>
      <c r="C50" s="309" t="s">
        <v>45</v>
      </c>
      <c r="D50" s="309" t="s">
        <v>116</v>
      </c>
      <c r="E50" s="310" t="s">
        <v>72</v>
      </c>
      <c r="F50" s="311">
        <f>'Memória de Cálculo'!D47</f>
        <v>45</v>
      </c>
      <c r="G50" s="311">
        <v>10.27</v>
      </c>
      <c r="H50" s="311">
        <f t="shared" si="12"/>
        <v>12.61</v>
      </c>
      <c r="I50" s="324">
        <f t="shared" si="13"/>
        <v>567.45000000000005</v>
      </c>
      <c r="J50" s="326"/>
    </row>
    <row r="51" spans="1:10" ht="38.25">
      <c r="A51" s="307" t="s">
        <v>117</v>
      </c>
      <c r="B51" s="308" t="s">
        <v>118</v>
      </c>
      <c r="C51" s="309" t="s">
        <v>45</v>
      </c>
      <c r="D51" s="309" t="s">
        <v>119</v>
      </c>
      <c r="E51" s="310" t="s">
        <v>72</v>
      </c>
      <c r="F51" s="311">
        <f>'Memória de Cálculo'!D48</f>
        <v>250</v>
      </c>
      <c r="G51" s="311">
        <v>8.48</v>
      </c>
      <c r="H51" s="311">
        <f t="shared" si="12"/>
        <v>10.41</v>
      </c>
      <c r="I51" s="324">
        <f t="shared" si="13"/>
        <v>2602.5</v>
      </c>
      <c r="J51" s="326"/>
    </row>
    <row r="52" spans="1:10" ht="25.5">
      <c r="A52" s="307" t="s">
        <v>120</v>
      </c>
      <c r="B52" s="308">
        <v>93358</v>
      </c>
      <c r="C52" s="309" t="s">
        <v>45</v>
      </c>
      <c r="D52" s="309" t="s">
        <v>67</v>
      </c>
      <c r="E52" s="310" t="s">
        <v>65</v>
      </c>
      <c r="F52" s="311">
        <f>'Memória de Cálculo'!D49</f>
        <v>42.4</v>
      </c>
      <c r="G52" s="311">
        <v>78.8</v>
      </c>
      <c r="H52" s="311">
        <f t="shared" si="12"/>
        <v>96.76</v>
      </c>
      <c r="I52" s="324">
        <f t="shared" si="13"/>
        <v>4102.62</v>
      </c>
    </row>
    <row r="53" spans="1:10">
      <c r="A53" s="307" t="s">
        <v>121</v>
      </c>
      <c r="B53" s="308">
        <v>96995</v>
      </c>
      <c r="C53" s="309" t="s">
        <v>45</v>
      </c>
      <c r="D53" s="309" t="s">
        <v>122</v>
      </c>
      <c r="E53" s="310" t="s">
        <v>65</v>
      </c>
      <c r="F53" s="311">
        <f>'Memória de Cálculo'!D50</f>
        <v>29.15</v>
      </c>
      <c r="G53" s="311">
        <v>47.78</v>
      </c>
      <c r="H53" s="311">
        <f t="shared" si="12"/>
        <v>58.67</v>
      </c>
      <c r="I53" s="324">
        <f t="shared" si="13"/>
        <v>1710.23</v>
      </c>
    </row>
    <row r="54" spans="1:10">
      <c r="A54" s="307" t="s">
        <v>123</v>
      </c>
      <c r="B54" s="308">
        <v>3212</v>
      </c>
      <c r="C54" s="309" t="s">
        <v>37</v>
      </c>
      <c r="D54" s="309" t="s">
        <v>93</v>
      </c>
      <c r="E54" s="310" t="s">
        <v>65</v>
      </c>
      <c r="F54" s="311">
        <f>'Memória de Cálculo'!D51</f>
        <v>13.25</v>
      </c>
      <c r="G54" s="311">
        <v>127.43</v>
      </c>
      <c r="H54" s="311">
        <f t="shared" si="12"/>
        <v>156.47999999999999</v>
      </c>
      <c r="I54" s="324">
        <f t="shared" si="13"/>
        <v>2073.36</v>
      </c>
    </row>
    <row r="55" spans="1:10" ht="25.5">
      <c r="A55" s="307" t="s">
        <v>124</v>
      </c>
      <c r="B55" s="308">
        <v>96985</v>
      </c>
      <c r="C55" s="309" t="s">
        <v>45</v>
      </c>
      <c r="D55" s="309" t="s">
        <v>125</v>
      </c>
      <c r="E55" s="310" t="s">
        <v>32</v>
      </c>
      <c r="F55" s="311">
        <f>'Memória de Cálculo'!D52</f>
        <v>7</v>
      </c>
      <c r="G55" s="311">
        <v>89.41</v>
      </c>
      <c r="H55" s="311">
        <f t="shared" si="12"/>
        <v>109.79</v>
      </c>
      <c r="I55" s="324">
        <f t="shared" si="13"/>
        <v>768.53</v>
      </c>
    </row>
    <row r="56" spans="1:10" ht="25.5">
      <c r="A56" s="307" t="s">
        <v>126</v>
      </c>
      <c r="B56" s="308">
        <v>7237</v>
      </c>
      <c r="C56" s="309" t="s">
        <v>37</v>
      </c>
      <c r="D56" s="309" t="s">
        <v>127</v>
      </c>
      <c r="E56" s="310" t="s">
        <v>32</v>
      </c>
      <c r="F56" s="311">
        <f>'Memória de Cálculo'!D53</f>
        <v>7</v>
      </c>
      <c r="G56" s="311">
        <v>216.91</v>
      </c>
      <c r="H56" s="311">
        <f t="shared" si="12"/>
        <v>266.36</v>
      </c>
      <c r="I56" s="324">
        <f t="shared" si="13"/>
        <v>1864.52</v>
      </c>
    </row>
    <row r="57" spans="1:10">
      <c r="A57" s="307" t="s">
        <v>128</v>
      </c>
      <c r="B57" s="308">
        <v>6410</v>
      </c>
      <c r="C57" s="309" t="s">
        <v>37</v>
      </c>
      <c r="D57" s="309" t="s">
        <v>129</v>
      </c>
      <c r="E57" s="310" t="s">
        <v>32</v>
      </c>
      <c r="F57" s="311">
        <f>'Memória de Cálculo'!D54</f>
        <v>7</v>
      </c>
      <c r="G57" s="311">
        <v>26.61</v>
      </c>
      <c r="H57" s="311">
        <f t="shared" si="12"/>
        <v>32.68</v>
      </c>
      <c r="I57" s="324">
        <f t="shared" si="13"/>
        <v>228.76</v>
      </c>
    </row>
    <row r="58" spans="1:10" ht="25.5">
      <c r="A58" s="307" t="s">
        <v>130</v>
      </c>
      <c r="B58" s="308">
        <v>11137</v>
      </c>
      <c r="C58" s="309" t="s">
        <v>37</v>
      </c>
      <c r="D58" s="309" t="s">
        <v>131</v>
      </c>
      <c r="E58" s="310" t="s">
        <v>32</v>
      </c>
      <c r="F58" s="311">
        <f>'Memória de Cálculo'!D55</f>
        <v>1</v>
      </c>
      <c r="G58" s="311">
        <v>2051.08</v>
      </c>
      <c r="H58" s="311">
        <f t="shared" si="12"/>
        <v>2518.64</v>
      </c>
      <c r="I58" s="324">
        <f t="shared" si="13"/>
        <v>2518.64</v>
      </c>
    </row>
    <row r="59" spans="1:10">
      <c r="A59" s="304">
        <v>6</v>
      </c>
      <c r="B59" s="305"/>
      <c r="C59" s="305"/>
      <c r="D59" s="305" t="s">
        <v>132</v>
      </c>
      <c r="E59" s="305"/>
      <c r="F59" s="313"/>
      <c r="G59" s="305"/>
      <c r="H59" s="305"/>
      <c r="I59" s="323">
        <f>SUM(I60)</f>
        <v>1201</v>
      </c>
    </row>
    <row r="60" spans="1:10">
      <c r="A60" s="307" t="s">
        <v>133</v>
      </c>
      <c r="B60" s="309">
        <v>6191</v>
      </c>
      <c r="C60" s="309" t="s">
        <v>37</v>
      </c>
      <c r="D60" s="309" t="s">
        <v>134</v>
      </c>
      <c r="E60" s="310" t="s">
        <v>23</v>
      </c>
      <c r="F60" s="311">
        <f>'Memória de Cálculo'!D57</f>
        <v>2001.66</v>
      </c>
      <c r="G60" s="311">
        <v>0.49</v>
      </c>
      <c r="H60" s="311">
        <f>ROUND(G60*(1+$D$7),2)</f>
        <v>0.6</v>
      </c>
      <c r="I60" s="324">
        <f t="shared" ref="I60" si="14">ROUND(H60*F60,2)</f>
        <v>1201</v>
      </c>
    </row>
    <row r="61" spans="1:10">
      <c r="A61" s="345"/>
      <c r="B61" s="346"/>
      <c r="C61" s="346"/>
      <c r="D61" s="317"/>
      <c r="E61" s="161"/>
      <c r="F61" s="347"/>
      <c r="G61" s="346"/>
      <c r="H61" s="348"/>
      <c r="I61" s="349"/>
    </row>
    <row r="62" spans="1:10" ht="15.75">
      <c r="A62" s="345"/>
      <c r="B62" s="346"/>
      <c r="C62" s="346"/>
      <c r="D62" s="317"/>
      <c r="E62" s="161"/>
      <c r="F62" s="350" t="s">
        <v>135</v>
      </c>
      <c r="G62" s="351"/>
      <c r="H62" s="352">
        <f>I46+I33+I21+I19+I12+I59</f>
        <v>303367.46999999997</v>
      </c>
      <c r="I62" s="353"/>
    </row>
    <row r="63" spans="1:10">
      <c r="A63" s="162"/>
      <c r="B63" s="163"/>
      <c r="C63" s="163"/>
      <c r="D63" s="163"/>
      <c r="E63" s="163"/>
      <c r="F63" s="163"/>
      <c r="G63" s="163"/>
      <c r="H63" s="163"/>
      <c r="I63" s="165"/>
    </row>
    <row r="64" spans="1:10" ht="66" customHeight="1">
      <c r="A64" s="354" t="s">
        <v>136</v>
      </c>
      <c r="B64" s="355"/>
      <c r="C64" s="355"/>
      <c r="D64" s="355"/>
      <c r="E64" s="355"/>
      <c r="F64" s="355"/>
      <c r="G64" s="355"/>
      <c r="H64" s="355"/>
      <c r="I64" s="356"/>
    </row>
    <row r="67" ht="60" customHeight="1"/>
    <row r="68" ht="69.95" customHeight="1"/>
  </sheetData>
  <mergeCells count="16">
    <mergeCell ref="A62:C62"/>
    <mergeCell ref="F62:G62"/>
    <mergeCell ref="H62:I62"/>
    <mergeCell ref="A64:I64"/>
    <mergeCell ref="A8:C8"/>
    <mergeCell ref="B9:D9"/>
    <mergeCell ref="A10:I10"/>
    <mergeCell ref="A61:C61"/>
    <mergeCell ref="F61:G61"/>
    <mergeCell ref="H61:I61"/>
    <mergeCell ref="D1:I1"/>
    <mergeCell ref="D2:I2"/>
    <mergeCell ref="D3:I3"/>
    <mergeCell ref="A5:I5"/>
    <mergeCell ref="A7:C7"/>
    <mergeCell ref="E7:F7"/>
  </mergeCells>
  <printOptions horizontalCentered="1"/>
  <pageMargins left="0.511811023622047" right="0.511811023622047" top="0.98425196850393704" bottom="0.98425196850393704" header="0.511811023622047" footer="0.511811023622047"/>
  <pageSetup paperSize="9" scale="55" fitToHeight="0" orientation="portrait" r:id="rId1"/>
  <headerFooter>
    <oddHeader>&amp;C&amp;F</oddHeader>
    <oddFooter>&amp;CPágina &amp;P de &amp;N</oddFooter>
  </headerFooter>
  <rowBreaks count="2" manualBreakCount="2">
    <brk id="64" max="16383" man="1"/>
    <brk id="6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4"/>
  <sheetViews>
    <sheetView view="pageBreakPreview" workbookViewId="0">
      <selection activeCell="D9" sqref="D9"/>
    </sheetView>
  </sheetViews>
  <sheetFormatPr defaultColWidth="7.875" defaultRowHeight="12.75"/>
  <cols>
    <col min="1" max="3" width="11.625" style="2" customWidth="1"/>
    <col min="4" max="4" width="46.125" style="2" customWidth="1"/>
    <col min="5" max="5" width="7.875" style="2"/>
    <col min="6" max="6" width="16.125" style="2" customWidth="1"/>
    <col min="7" max="7" width="17.25" style="2" customWidth="1"/>
    <col min="8" max="8" width="17" style="2" customWidth="1"/>
    <col min="9" max="16384" width="7.875" style="2"/>
  </cols>
  <sheetData>
    <row r="1" spans="1:8">
      <c r="A1" s="254"/>
      <c r="B1" s="255"/>
      <c r="C1" s="255"/>
      <c r="D1" s="357" t="s">
        <v>137</v>
      </c>
      <c r="E1" s="358"/>
      <c r="F1" s="358"/>
      <c r="G1" s="358"/>
      <c r="H1" s="359"/>
    </row>
    <row r="2" spans="1:8">
      <c r="A2" s="256"/>
      <c r="B2" s="172"/>
      <c r="C2" s="172"/>
      <c r="D2" s="360" t="s">
        <v>138</v>
      </c>
      <c r="E2" s="361"/>
      <c r="F2" s="361"/>
      <c r="G2" s="361"/>
      <c r="H2" s="362"/>
    </row>
    <row r="3" spans="1:8">
      <c r="A3" s="256"/>
      <c r="B3" s="172"/>
      <c r="C3" s="172"/>
      <c r="D3" s="360" t="s">
        <v>139</v>
      </c>
      <c r="E3" s="361"/>
      <c r="F3" s="361"/>
      <c r="G3" s="361"/>
      <c r="H3" s="362"/>
    </row>
    <row r="4" spans="1:8">
      <c r="A4" s="256"/>
      <c r="B4" s="172"/>
      <c r="C4" s="172"/>
      <c r="D4" s="172"/>
      <c r="E4" s="172"/>
      <c r="F4" s="172"/>
      <c r="G4" s="172"/>
      <c r="H4" s="205"/>
    </row>
    <row r="5" spans="1:8" ht="15.75">
      <c r="A5" s="363" t="s">
        <v>140</v>
      </c>
      <c r="B5" s="364"/>
      <c r="C5" s="364"/>
      <c r="D5" s="364"/>
      <c r="E5" s="364"/>
      <c r="F5" s="364"/>
      <c r="G5" s="364"/>
      <c r="H5" s="365"/>
    </row>
    <row r="6" spans="1:8" ht="15.75">
      <c r="A6" s="257"/>
      <c r="B6" s="203"/>
      <c r="C6" s="203"/>
      <c r="D6" s="203"/>
      <c r="E6" s="203"/>
      <c r="F6" s="203"/>
      <c r="G6" s="203"/>
      <c r="H6" s="258"/>
    </row>
    <row r="7" spans="1:8" ht="42.95" customHeight="1">
      <c r="A7" s="366" t="str">
        <f>'Orçamento Sintético'!A5:I5</f>
        <v>Construção da Praça no Povoado Honorato, no município de Barro Alto/BA</v>
      </c>
      <c r="B7" s="367"/>
      <c r="C7" s="367"/>
      <c r="D7" s="367"/>
      <c r="E7" s="367"/>
      <c r="F7" s="367"/>
      <c r="G7" s="367"/>
      <c r="H7" s="368"/>
    </row>
    <row r="8" spans="1:8" ht="15.75">
      <c r="A8" s="257"/>
      <c r="B8" s="203"/>
      <c r="C8" s="203"/>
      <c r="D8" s="203"/>
      <c r="E8" s="203"/>
      <c r="F8" s="203"/>
      <c r="G8" s="203"/>
      <c r="H8" s="258"/>
    </row>
    <row r="9" spans="1:8" ht="21.95" customHeight="1">
      <c r="A9" s="256"/>
      <c r="B9" s="172"/>
      <c r="C9" s="203"/>
      <c r="D9" s="203"/>
      <c r="E9" s="172"/>
      <c r="F9" s="369" t="s">
        <v>141</v>
      </c>
      <c r="G9" s="370"/>
      <c r="H9" s="259">
        <f>BDI!D36</f>
        <v>0.227957675415105</v>
      </c>
    </row>
    <row r="10" spans="1:8" ht="21.95" customHeight="1">
      <c r="A10" s="256"/>
      <c r="B10" s="172"/>
      <c r="C10" s="203"/>
      <c r="D10" s="203"/>
      <c r="E10" s="172"/>
      <c r="F10" s="371" t="s">
        <v>142</v>
      </c>
      <c r="G10" s="372"/>
      <c r="H10" s="260">
        <f>'ENC SOCIAIS'!F52</f>
        <v>1.1447000000000001</v>
      </c>
    </row>
    <row r="11" spans="1:8" ht="21.95" customHeight="1">
      <c r="A11" s="261" t="s">
        <v>6</v>
      </c>
      <c r="B11" s="373" t="str">
        <f>'Orçamento Sintético'!B9:D9</f>
        <v>SINAPI: SETEMBRO/2022; ORSE: SETEMBRO/2022;</v>
      </c>
      <c r="C11" s="373"/>
      <c r="D11" s="373"/>
      <c r="E11" s="172"/>
      <c r="F11" s="374" t="s">
        <v>143</v>
      </c>
      <c r="G11" s="375"/>
      <c r="H11" s="376"/>
    </row>
    <row r="12" spans="1:8" ht="15" customHeight="1">
      <c r="A12" s="256"/>
      <c r="B12" s="172"/>
      <c r="C12" s="172"/>
      <c r="D12" s="172"/>
      <c r="E12" s="172"/>
      <c r="F12" s="172"/>
      <c r="G12" s="172"/>
      <c r="H12" s="205"/>
    </row>
    <row r="13" spans="1:8" ht="21.95" customHeight="1">
      <c r="A13" s="262" t="s">
        <v>144</v>
      </c>
      <c r="B13" s="262" t="s">
        <v>145</v>
      </c>
      <c r="C13" s="262" t="s">
        <v>146</v>
      </c>
      <c r="D13" s="263" t="s">
        <v>147</v>
      </c>
      <c r="E13" s="262" t="s">
        <v>148</v>
      </c>
      <c r="F13" s="264" t="s">
        <v>149</v>
      </c>
      <c r="G13" s="264" t="s">
        <v>150</v>
      </c>
      <c r="H13" s="264" t="s">
        <v>151</v>
      </c>
    </row>
    <row r="14" spans="1:8" ht="21.95" customHeight="1">
      <c r="A14" s="265" t="s">
        <v>152</v>
      </c>
      <c r="B14" s="265" t="s">
        <v>45</v>
      </c>
      <c r="C14" s="265">
        <v>90776</v>
      </c>
      <c r="D14" s="266" t="s">
        <v>153</v>
      </c>
      <c r="E14" s="265" t="s">
        <v>154</v>
      </c>
      <c r="F14" s="267">
        <v>100</v>
      </c>
      <c r="G14" s="268">
        <v>34.15</v>
      </c>
      <c r="H14" s="269">
        <f>ROUND(F14*G14,2)</f>
        <v>3415</v>
      </c>
    </row>
    <row r="15" spans="1:8" ht="21.95" customHeight="1">
      <c r="A15" s="265" t="s">
        <v>152</v>
      </c>
      <c r="B15" s="265" t="s">
        <v>45</v>
      </c>
      <c r="C15" s="265">
        <v>90777</v>
      </c>
      <c r="D15" s="266" t="s">
        <v>155</v>
      </c>
      <c r="E15" s="265" t="s">
        <v>154</v>
      </c>
      <c r="F15" s="267">
        <v>8</v>
      </c>
      <c r="G15" s="268">
        <v>105.62</v>
      </c>
      <c r="H15" s="269">
        <f>ROUND(F15*G15,2)</f>
        <v>844.96</v>
      </c>
    </row>
    <row r="16" spans="1:8" ht="21.95" customHeight="1">
      <c r="A16" s="256"/>
      <c r="B16" s="172"/>
      <c r="C16" s="172"/>
      <c r="D16" s="172"/>
      <c r="E16" s="377" t="s">
        <v>156</v>
      </c>
      <c r="F16" s="378"/>
      <c r="G16" s="379"/>
      <c r="H16" s="270">
        <f>ROUND(SUM(H14:H15),2)</f>
        <v>4259.96</v>
      </c>
    </row>
    <row r="17" spans="1:10" ht="21.95" customHeight="1">
      <c r="A17" s="256"/>
      <c r="B17" s="172"/>
      <c r="C17" s="172"/>
      <c r="D17" s="172"/>
      <c r="E17" s="380">
        <f>$H$9</f>
        <v>0.227957675415105</v>
      </c>
      <c r="F17" s="378"/>
      <c r="G17" s="379"/>
      <c r="H17" s="271">
        <f>ROUND((E17*H16),2)</f>
        <v>971.09</v>
      </c>
    </row>
    <row r="18" spans="1:10" ht="21.95" customHeight="1">
      <c r="A18" s="256"/>
      <c r="B18" s="172"/>
      <c r="C18" s="172"/>
      <c r="D18" s="172"/>
      <c r="E18" s="377" t="s">
        <v>156</v>
      </c>
      <c r="F18" s="378"/>
      <c r="G18" s="379"/>
      <c r="H18" s="270">
        <f>ROUND(H16+H17,2)</f>
        <v>5231.05</v>
      </c>
    </row>
    <row r="19" spans="1:10" ht="21.95" customHeight="1">
      <c r="A19" s="256"/>
      <c r="B19" s="172"/>
      <c r="C19" s="172"/>
      <c r="D19" s="172"/>
      <c r="E19" s="377" t="s">
        <v>157</v>
      </c>
      <c r="F19" s="378"/>
      <c r="G19" s="379"/>
      <c r="H19" s="272">
        <f>ROUND(H18*4,2)</f>
        <v>20924.2</v>
      </c>
    </row>
    <row r="20" spans="1:10" ht="21.95" customHeight="1">
      <c r="A20" s="256"/>
      <c r="B20" s="172"/>
      <c r="C20" s="172"/>
      <c r="D20" s="172"/>
      <c r="E20" s="377" t="s">
        <v>158</v>
      </c>
      <c r="F20" s="378"/>
      <c r="G20" s="379"/>
      <c r="H20" s="273">
        <f>H19</f>
        <v>20924.2</v>
      </c>
      <c r="J20" s="279">
        <f>H20/'[1]Planilha - IBOTIRAMA'!J106</f>
        <v>6.9750267494585946E-2</v>
      </c>
    </row>
    <row r="21" spans="1:10" ht="15" customHeight="1">
      <c r="A21" s="256"/>
      <c r="B21" s="172"/>
      <c r="C21" s="172"/>
      <c r="D21" s="172"/>
      <c r="E21" s="172"/>
      <c r="F21" s="172"/>
      <c r="G21" s="172"/>
      <c r="H21" s="205"/>
    </row>
    <row r="22" spans="1:10" ht="43.5" customHeight="1">
      <c r="A22" s="262" t="s">
        <v>159</v>
      </c>
      <c r="B22" s="262" t="s">
        <v>145</v>
      </c>
      <c r="C22" s="262" t="s">
        <v>146</v>
      </c>
      <c r="D22" s="263" t="s">
        <v>160</v>
      </c>
      <c r="E22" s="262" t="s">
        <v>148</v>
      </c>
      <c r="F22" s="264" t="s">
        <v>149</v>
      </c>
      <c r="G22" s="264" t="s">
        <v>150</v>
      </c>
      <c r="H22" s="264" t="s">
        <v>151</v>
      </c>
    </row>
    <row r="23" spans="1:10" ht="24">
      <c r="A23" s="265" t="s">
        <v>152</v>
      </c>
      <c r="B23" s="265" t="s">
        <v>161</v>
      </c>
      <c r="C23" s="274" t="s">
        <v>162</v>
      </c>
      <c r="D23" s="266" t="s">
        <v>163</v>
      </c>
      <c r="E23" s="265" t="s">
        <v>164</v>
      </c>
      <c r="F23" s="275">
        <v>1.5</v>
      </c>
      <c r="G23" s="268">
        <v>321.81</v>
      </c>
      <c r="H23" s="269">
        <f>ROUND(F23*G23,2)</f>
        <v>482.72</v>
      </c>
    </row>
    <row r="24" spans="1:10" ht="24">
      <c r="A24" s="265" t="s">
        <v>152</v>
      </c>
      <c r="B24" s="265" t="s">
        <v>161</v>
      </c>
      <c r="C24" s="274" t="s">
        <v>165</v>
      </c>
      <c r="D24" s="266" t="s">
        <v>166</v>
      </c>
      <c r="E24" s="265" t="s">
        <v>164</v>
      </c>
      <c r="F24" s="275">
        <v>1.5</v>
      </c>
      <c r="G24" s="268">
        <v>372.13</v>
      </c>
      <c r="H24" s="269">
        <f>ROUND(F24*G24,2)</f>
        <v>558.20000000000005</v>
      </c>
    </row>
    <row r="25" spans="1:10" ht="36">
      <c r="A25" s="265" t="s">
        <v>152</v>
      </c>
      <c r="B25" s="265" t="s">
        <v>161</v>
      </c>
      <c r="C25" s="274">
        <v>5914640</v>
      </c>
      <c r="D25" s="266" t="s">
        <v>167</v>
      </c>
      <c r="E25" s="265" t="s">
        <v>168</v>
      </c>
      <c r="F25" s="275">
        <f>Mobilização!F26:G26</f>
        <v>2362.5</v>
      </c>
      <c r="G25" s="268">
        <v>0.62</v>
      </c>
      <c r="H25" s="269">
        <f>ROUND(F25*G25,2)</f>
        <v>1464.75</v>
      </c>
    </row>
    <row r="26" spans="1:10" ht="21.95" customHeight="1">
      <c r="A26" s="256"/>
      <c r="B26" s="172"/>
      <c r="C26" s="172"/>
      <c r="D26" s="172"/>
      <c r="E26" s="377" t="s">
        <v>156</v>
      </c>
      <c r="F26" s="378"/>
      <c r="G26" s="379"/>
      <c r="H26" s="270">
        <f>SUM(H23:H25)</f>
        <v>2505.67</v>
      </c>
    </row>
    <row r="27" spans="1:10" ht="21.95" customHeight="1">
      <c r="A27" s="256"/>
      <c r="B27" s="172"/>
      <c r="C27" s="172"/>
      <c r="D27" s="172"/>
      <c r="E27" s="380">
        <f>$H$9</f>
        <v>0.227957675415105</v>
      </c>
      <c r="F27" s="378"/>
      <c r="G27" s="379"/>
      <c r="H27" s="271">
        <f>ROUND((E27*H26),2)</f>
        <v>571.19000000000005</v>
      </c>
    </row>
    <row r="28" spans="1:10" ht="21.95" customHeight="1">
      <c r="A28" s="256"/>
      <c r="B28" s="172"/>
      <c r="C28" s="172"/>
      <c r="D28" s="172"/>
      <c r="E28" s="377" t="s">
        <v>158</v>
      </c>
      <c r="F28" s="378"/>
      <c r="G28" s="379"/>
      <c r="H28" s="273">
        <f>ROUND(SUM(H26:H27),2)</f>
        <v>3076.86</v>
      </c>
    </row>
    <row r="29" spans="1:10" ht="21.95" customHeight="1">
      <c r="A29" s="381"/>
      <c r="B29" s="382"/>
      <c r="C29" s="382"/>
      <c r="D29" s="382"/>
      <c r="E29" s="382"/>
      <c r="F29" s="382"/>
      <c r="G29" s="382"/>
      <c r="H29" s="383"/>
    </row>
    <row r="30" spans="1:10" ht="35.25" customHeight="1">
      <c r="A30" s="262" t="s">
        <v>169</v>
      </c>
      <c r="B30" s="262" t="s">
        <v>145</v>
      </c>
      <c r="C30" s="262" t="s">
        <v>146</v>
      </c>
      <c r="D30" s="263" t="s">
        <v>170</v>
      </c>
      <c r="E30" s="262" t="s">
        <v>148</v>
      </c>
      <c r="F30" s="264" t="s">
        <v>149</v>
      </c>
      <c r="G30" s="264" t="s">
        <v>150</v>
      </c>
      <c r="H30" s="264" t="s">
        <v>151</v>
      </c>
    </row>
    <row r="31" spans="1:10">
      <c r="A31" s="265" t="s">
        <v>171</v>
      </c>
      <c r="B31" s="265" t="s">
        <v>45</v>
      </c>
      <c r="C31" s="265">
        <v>5075</v>
      </c>
      <c r="D31" s="266" t="s">
        <v>172</v>
      </c>
      <c r="E31" s="265" t="s">
        <v>173</v>
      </c>
      <c r="F31" s="275">
        <v>0.11</v>
      </c>
      <c r="G31" s="268">
        <v>20.85</v>
      </c>
      <c r="H31" s="269">
        <f t="shared" ref="H31:H40" si="0">ROUND(F31*G31,2)</f>
        <v>2.29</v>
      </c>
    </row>
    <row r="32" spans="1:10" ht="27" customHeight="1">
      <c r="A32" s="265" t="s">
        <v>171</v>
      </c>
      <c r="B32" s="265" t="s">
        <v>45</v>
      </c>
      <c r="C32" s="265">
        <v>4491</v>
      </c>
      <c r="D32" s="266" t="s">
        <v>174</v>
      </c>
      <c r="E32" s="265" t="s">
        <v>175</v>
      </c>
      <c r="F32" s="275">
        <v>4</v>
      </c>
      <c r="G32" s="268">
        <v>9.65</v>
      </c>
      <c r="H32" s="269">
        <f t="shared" si="0"/>
        <v>38.6</v>
      </c>
    </row>
    <row r="33" spans="1:8" ht="27" customHeight="1">
      <c r="A33" s="265" t="s">
        <v>171</v>
      </c>
      <c r="B33" s="265" t="s">
        <v>45</v>
      </c>
      <c r="C33" s="265">
        <v>4417</v>
      </c>
      <c r="D33" s="266" t="s">
        <v>176</v>
      </c>
      <c r="E33" s="265" t="s">
        <v>175</v>
      </c>
      <c r="F33" s="275">
        <v>1</v>
      </c>
      <c r="G33" s="268">
        <v>7.48</v>
      </c>
      <c r="H33" s="269">
        <f t="shared" si="0"/>
        <v>7.48</v>
      </c>
    </row>
    <row r="34" spans="1:8" ht="27" customHeight="1">
      <c r="A34" s="265" t="s">
        <v>171</v>
      </c>
      <c r="B34" s="265" t="s">
        <v>45</v>
      </c>
      <c r="C34" s="265">
        <v>4813</v>
      </c>
      <c r="D34" s="266" t="s">
        <v>177</v>
      </c>
      <c r="E34" s="265" t="s">
        <v>23</v>
      </c>
      <c r="F34" s="275">
        <v>1</v>
      </c>
      <c r="G34" s="268">
        <v>290</v>
      </c>
      <c r="H34" s="269">
        <f t="shared" si="0"/>
        <v>290</v>
      </c>
    </row>
    <row r="35" spans="1:8" ht="27" customHeight="1">
      <c r="A35" s="265" t="s">
        <v>171</v>
      </c>
      <c r="B35" s="265" t="s">
        <v>45</v>
      </c>
      <c r="C35" s="265">
        <v>370</v>
      </c>
      <c r="D35" s="266" t="s">
        <v>178</v>
      </c>
      <c r="E35" s="265" t="s">
        <v>65</v>
      </c>
      <c r="F35" s="275">
        <v>4.8999999999999998E-3</v>
      </c>
      <c r="G35" s="268">
        <v>115.01</v>
      </c>
      <c r="H35" s="269">
        <f t="shared" si="0"/>
        <v>0.56000000000000005</v>
      </c>
    </row>
    <row r="36" spans="1:8" ht="27" customHeight="1">
      <c r="A36" s="265" t="s">
        <v>171</v>
      </c>
      <c r="B36" s="265" t="s">
        <v>45</v>
      </c>
      <c r="C36" s="265">
        <v>1379</v>
      </c>
      <c r="D36" s="266" t="s">
        <v>179</v>
      </c>
      <c r="E36" s="265" t="s">
        <v>173</v>
      </c>
      <c r="F36" s="275">
        <v>1.5</v>
      </c>
      <c r="G36" s="268">
        <v>0.86</v>
      </c>
      <c r="H36" s="269">
        <f t="shared" si="0"/>
        <v>1.29</v>
      </c>
    </row>
    <row r="37" spans="1:8">
      <c r="A37" s="265" t="s">
        <v>171</v>
      </c>
      <c r="B37" s="265" t="s">
        <v>45</v>
      </c>
      <c r="C37" s="265">
        <v>4718</v>
      </c>
      <c r="D37" s="266" t="s">
        <v>180</v>
      </c>
      <c r="E37" s="265" t="s">
        <v>65</v>
      </c>
      <c r="F37" s="275">
        <v>9.7999999999999997E-3</v>
      </c>
      <c r="G37" s="268">
        <v>99.59</v>
      </c>
      <c r="H37" s="269">
        <f t="shared" si="0"/>
        <v>0.98</v>
      </c>
    </row>
    <row r="38" spans="1:8" ht="24">
      <c r="A38" s="265" t="s">
        <v>181</v>
      </c>
      <c r="B38" s="265" t="s">
        <v>45</v>
      </c>
      <c r="C38" s="265">
        <v>87445</v>
      </c>
      <c r="D38" s="266" t="s">
        <v>182</v>
      </c>
      <c r="E38" s="265" t="s">
        <v>183</v>
      </c>
      <c r="F38" s="275">
        <v>6.4999999999999997E-3</v>
      </c>
      <c r="G38" s="268">
        <v>5.94</v>
      </c>
      <c r="H38" s="269">
        <f t="shared" si="0"/>
        <v>0.04</v>
      </c>
    </row>
    <row r="39" spans="1:8" ht="27" customHeight="1">
      <c r="A39" s="265" t="s">
        <v>181</v>
      </c>
      <c r="B39" s="265" t="s">
        <v>45</v>
      </c>
      <c r="C39" s="265">
        <v>88262</v>
      </c>
      <c r="D39" s="266" t="s">
        <v>184</v>
      </c>
      <c r="E39" s="265" t="s">
        <v>183</v>
      </c>
      <c r="F39" s="275">
        <v>1</v>
      </c>
      <c r="G39" s="268">
        <v>28.32</v>
      </c>
      <c r="H39" s="269">
        <f t="shared" si="0"/>
        <v>28.32</v>
      </c>
    </row>
    <row r="40" spans="1:8" ht="27" customHeight="1">
      <c r="A40" s="265" t="s">
        <v>181</v>
      </c>
      <c r="B40" s="265" t="s">
        <v>45</v>
      </c>
      <c r="C40" s="265">
        <v>88316</v>
      </c>
      <c r="D40" s="266" t="s">
        <v>185</v>
      </c>
      <c r="E40" s="265" t="s">
        <v>183</v>
      </c>
      <c r="F40" s="275">
        <v>2.06</v>
      </c>
      <c r="G40" s="268">
        <v>19.920000000000002</v>
      </c>
      <c r="H40" s="269">
        <f t="shared" si="0"/>
        <v>41.04</v>
      </c>
    </row>
    <row r="41" spans="1:8" ht="21.95" customHeight="1">
      <c r="A41" s="256"/>
      <c r="B41" s="172"/>
      <c r="C41" s="172"/>
      <c r="D41" s="172"/>
      <c r="E41" s="377" t="s">
        <v>156</v>
      </c>
      <c r="F41" s="378"/>
      <c r="G41" s="379"/>
      <c r="H41" s="270">
        <f>SUM(H31:H40)</f>
        <v>410.6</v>
      </c>
    </row>
    <row r="42" spans="1:8" ht="21.95" customHeight="1">
      <c r="A42" s="256"/>
      <c r="B42" s="172"/>
      <c r="C42" s="172"/>
      <c r="D42" s="172"/>
      <c r="E42" s="380">
        <f>H9</f>
        <v>0.227957675415105</v>
      </c>
      <c r="F42" s="378"/>
      <c r="G42" s="379"/>
      <c r="H42" s="271">
        <f>ROUND((E42*H41),2)</f>
        <v>93.6</v>
      </c>
    </row>
    <row r="43" spans="1:8" ht="21.95" customHeight="1">
      <c r="A43" s="276"/>
      <c r="B43" s="277"/>
      <c r="C43" s="277"/>
      <c r="D43" s="277"/>
      <c r="E43" s="377" t="s">
        <v>158</v>
      </c>
      <c r="F43" s="378"/>
      <c r="G43" s="379"/>
      <c r="H43" s="273">
        <f>ROUND(H41+H42,2)</f>
        <v>504.2</v>
      </c>
    </row>
    <row r="45" spans="1:8" ht="35.25" customHeight="1">
      <c r="A45" s="262" t="s">
        <v>186</v>
      </c>
      <c r="B45" s="262" t="s">
        <v>145</v>
      </c>
      <c r="C45" s="262" t="s">
        <v>146</v>
      </c>
      <c r="D45" s="263" t="s">
        <v>187</v>
      </c>
      <c r="E45" s="262" t="s">
        <v>148</v>
      </c>
      <c r="F45" s="264" t="s">
        <v>149</v>
      </c>
      <c r="G45" s="264" t="s">
        <v>150</v>
      </c>
      <c r="H45" s="264" t="s">
        <v>151</v>
      </c>
    </row>
    <row r="46" spans="1:8" ht="12.75" customHeight="1">
      <c r="A46" s="265" t="s">
        <v>171</v>
      </c>
      <c r="B46" s="265" t="s">
        <v>45</v>
      </c>
      <c r="C46" s="265">
        <v>20206</v>
      </c>
      <c r="D46" s="266" t="s">
        <v>188</v>
      </c>
      <c r="E46" s="265" t="s">
        <v>175</v>
      </c>
      <c r="F46" s="278">
        <v>2.8860000000000001E-3</v>
      </c>
      <c r="G46" s="268">
        <v>9.4499999999999993</v>
      </c>
      <c r="H46" s="269">
        <f t="shared" ref="H46:H51" si="1">ROUND(F46*G46,2)</f>
        <v>0.03</v>
      </c>
    </row>
    <row r="47" spans="1:8" ht="27" customHeight="1">
      <c r="A47" s="265" t="s">
        <v>181</v>
      </c>
      <c r="B47" s="265" t="s">
        <v>45</v>
      </c>
      <c r="C47" s="265">
        <v>88253</v>
      </c>
      <c r="D47" s="266" t="s">
        <v>189</v>
      </c>
      <c r="E47" s="265" t="s">
        <v>183</v>
      </c>
      <c r="F47" s="278">
        <v>2.5000000000000001E-3</v>
      </c>
      <c r="G47" s="268">
        <v>16.86</v>
      </c>
      <c r="H47" s="269">
        <f t="shared" si="1"/>
        <v>0.04</v>
      </c>
    </row>
    <row r="48" spans="1:8" ht="27" customHeight="1">
      <c r="A48" s="265" t="s">
        <v>181</v>
      </c>
      <c r="B48" s="265" t="s">
        <v>45</v>
      </c>
      <c r="C48" s="265">
        <v>88288</v>
      </c>
      <c r="D48" s="266" t="s">
        <v>190</v>
      </c>
      <c r="E48" s="265" t="s">
        <v>183</v>
      </c>
      <c r="F48" s="278">
        <v>2.5000000000000001E-3</v>
      </c>
      <c r="G48" s="268">
        <v>21.06</v>
      </c>
      <c r="H48" s="269">
        <f t="shared" si="1"/>
        <v>0.05</v>
      </c>
    </row>
    <row r="49" spans="1:8" ht="27" customHeight="1">
      <c r="A49" s="265" t="s">
        <v>181</v>
      </c>
      <c r="B49" s="265" t="s">
        <v>45</v>
      </c>
      <c r="C49" s="265">
        <v>88316</v>
      </c>
      <c r="D49" s="266" t="s">
        <v>185</v>
      </c>
      <c r="E49" s="265" t="s">
        <v>183</v>
      </c>
      <c r="F49" s="278">
        <v>7.4999999999999997E-3</v>
      </c>
      <c r="G49" s="268">
        <v>19.920000000000002</v>
      </c>
      <c r="H49" s="269">
        <f t="shared" si="1"/>
        <v>0.15</v>
      </c>
    </row>
    <row r="50" spans="1:8" ht="27" customHeight="1">
      <c r="A50" s="265" t="s">
        <v>181</v>
      </c>
      <c r="B50" s="265" t="s">
        <v>45</v>
      </c>
      <c r="C50" s="265">
        <v>88597</v>
      </c>
      <c r="D50" s="266" t="s">
        <v>191</v>
      </c>
      <c r="E50" s="265" t="s">
        <v>183</v>
      </c>
      <c r="F50" s="278">
        <v>2E-3</v>
      </c>
      <c r="G50" s="268">
        <v>33.729999999999997</v>
      </c>
      <c r="H50" s="269">
        <f t="shared" si="1"/>
        <v>7.0000000000000007E-2</v>
      </c>
    </row>
    <row r="51" spans="1:8" ht="27" customHeight="1">
      <c r="A51" s="265" t="s">
        <v>181</v>
      </c>
      <c r="B51" s="265" t="s">
        <v>45</v>
      </c>
      <c r="C51" s="265">
        <v>92145</v>
      </c>
      <c r="D51" s="266" t="s">
        <v>192</v>
      </c>
      <c r="E51" s="265" t="s">
        <v>193</v>
      </c>
      <c r="F51" s="278">
        <v>1E-3</v>
      </c>
      <c r="G51" s="268">
        <v>79.84</v>
      </c>
      <c r="H51" s="269">
        <f t="shared" si="1"/>
        <v>0.08</v>
      </c>
    </row>
    <row r="52" spans="1:8" ht="21.95" customHeight="1">
      <c r="A52" s="256"/>
      <c r="B52" s="172"/>
      <c r="C52" s="172"/>
      <c r="D52" s="172"/>
      <c r="E52" s="377" t="s">
        <v>156</v>
      </c>
      <c r="F52" s="378"/>
      <c r="G52" s="379"/>
      <c r="H52" s="270">
        <f>SUM(H46:H51)</f>
        <v>0.42</v>
      </c>
    </row>
    <row r="53" spans="1:8" ht="21.95" customHeight="1">
      <c r="A53" s="256"/>
      <c r="B53" s="172"/>
      <c r="C53" s="172"/>
      <c r="D53" s="172"/>
      <c r="E53" s="380">
        <f>H9</f>
        <v>0.227957675415105</v>
      </c>
      <c r="F53" s="378"/>
      <c r="G53" s="379"/>
      <c r="H53" s="271">
        <f>ROUND((E53*H52),2)</f>
        <v>0.1</v>
      </c>
    </row>
    <row r="54" spans="1:8" ht="21.95" customHeight="1">
      <c r="A54" s="276"/>
      <c r="B54" s="277"/>
      <c r="C54" s="277"/>
      <c r="D54" s="277"/>
      <c r="E54" s="377" t="s">
        <v>158</v>
      </c>
      <c r="F54" s="378"/>
      <c r="G54" s="379"/>
      <c r="H54" s="273">
        <f>ROUND(H52+H53,2)</f>
        <v>0.52</v>
      </c>
    </row>
  </sheetData>
  <mergeCells count="24">
    <mergeCell ref="E43:G43"/>
    <mergeCell ref="E52:G52"/>
    <mergeCell ref="E53:G53"/>
    <mergeCell ref="E54:G54"/>
    <mergeCell ref="E27:G27"/>
    <mergeCell ref="E28:G28"/>
    <mergeCell ref="A29:H29"/>
    <mergeCell ref="E41:G41"/>
    <mergeCell ref="E42:G42"/>
    <mergeCell ref="E17:G17"/>
    <mergeCell ref="E18:G18"/>
    <mergeCell ref="E19:G19"/>
    <mergeCell ref="E20:G20"/>
    <mergeCell ref="E26:G26"/>
    <mergeCell ref="F9:G9"/>
    <mergeCell ref="F10:G10"/>
    <mergeCell ref="B11:D11"/>
    <mergeCell ref="F11:H11"/>
    <mergeCell ref="E16:G16"/>
    <mergeCell ref="D1:H1"/>
    <mergeCell ref="D2:H2"/>
    <mergeCell ref="D3:H3"/>
    <mergeCell ref="A5:H5"/>
    <mergeCell ref="A7:H7"/>
  </mergeCells>
  <pageMargins left="0.511811024" right="0.511811024" top="0.78740157499999996" bottom="0.78740157499999996" header="0.31496062000000002" footer="0.31496062000000002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8"/>
  <sheetViews>
    <sheetView view="pageBreakPreview" topLeftCell="A66" workbookViewId="0">
      <selection activeCell="D97" sqref="D97"/>
    </sheetView>
  </sheetViews>
  <sheetFormatPr defaultColWidth="7.875" defaultRowHeight="12.75"/>
  <cols>
    <col min="1" max="2" width="11.625" style="2" customWidth="1"/>
    <col min="3" max="3" width="13.625" style="2" customWidth="1"/>
    <col min="4" max="4" width="81.75" style="2" customWidth="1"/>
    <col min="5" max="5" width="15.125" style="2" customWidth="1"/>
    <col min="6" max="6" width="17.25" style="2" customWidth="1"/>
    <col min="7" max="7" width="14.375" style="2" customWidth="1"/>
    <col min="8" max="8" width="10.125" style="2" customWidth="1"/>
    <col min="9" max="16384" width="7.875" style="2"/>
  </cols>
  <sheetData>
    <row r="1" spans="1:8">
      <c r="A1" s="199"/>
      <c r="B1" s="200"/>
      <c r="C1" s="384" t="s">
        <v>194</v>
      </c>
      <c r="D1" s="385"/>
      <c r="E1" s="385"/>
      <c r="F1" s="385"/>
      <c r="G1" s="385"/>
      <c r="H1" s="201"/>
    </row>
    <row r="2" spans="1:8">
      <c r="A2" s="190"/>
      <c r="B2" s="172"/>
      <c r="C2" s="386" t="s">
        <v>195</v>
      </c>
      <c r="D2" s="387"/>
      <c r="E2" s="387"/>
      <c r="F2" s="387"/>
      <c r="G2" s="387"/>
      <c r="H2" s="196"/>
    </row>
    <row r="3" spans="1:8">
      <c r="A3" s="190"/>
      <c r="B3" s="172"/>
      <c r="C3" s="386" t="s">
        <v>196</v>
      </c>
      <c r="D3" s="387"/>
      <c r="E3" s="387"/>
      <c r="F3" s="387"/>
      <c r="G3" s="387"/>
      <c r="H3" s="196"/>
    </row>
    <row r="4" spans="1:8">
      <c r="A4" s="190"/>
      <c r="B4" s="172"/>
      <c r="C4" s="172"/>
      <c r="D4" s="172"/>
      <c r="E4" s="172"/>
      <c r="F4" s="172"/>
      <c r="G4" s="172"/>
      <c r="H4" s="196"/>
    </row>
    <row r="5" spans="1:8" ht="15.75">
      <c r="A5" s="388" t="s">
        <v>140</v>
      </c>
      <c r="B5" s="364"/>
      <c r="C5" s="364"/>
      <c r="D5" s="364"/>
      <c r="E5" s="364"/>
      <c r="F5" s="364"/>
      <c r="G5" s="364"/>
      <c r="H5" s="196"/>
    </row>
    <row r="6" spans="1:8" ht="15.75">
      <c r="A6" s="202"/>
      <c r="B6" s="203"/>
      <c r="C6" s="203"/>
      <c r="D6" s="203"/>
      <c r="E6" s="203"/>
      <c r="F6" s="203"/>
      <c r="G6" s="203"/>
      <c r="H6" s="196"/>
    </row>
    <row r="7" spans="1:8" ht="39.950000000000003" customHeight="1">
      <c r="A7" s="389" t="str">
        <f>'Orçamento Sintético'!A5:I5</f>
        <v>Construção da Praça no Povoado Honorato, no município de Barro Alto/BA</v>
      </c>
      <c r="B7" s="390"/>
      <c r="C7" s="390"/>
      <c r="D7" s="390"/>
      <c r="E7" s="390"/>
      <c r="F7" s="390"/>
      <c r="G7" s="390"/>
      <c r="H7" s="391"/>
    </row>
    <row r="8" spans="1:8" ht="15.75">
      <c r="A8" s="202"/>
      <c r="B8" s="203"/>
      <c r="C8" s="203"/>
      <c r="D8" s="203"/>
      <c r="E8" s="203"/>
      <c r="F8" s="203"/>
      <c r="G8" s="203"/>
      <c r="H8" s="196"/>
    </row>
    <row r="9" spans="1:8" ht="21.95" customHeight="1">
      <c r="A9" s="190"/>
      <c r="B9" s="172"/>
      <c r="C9" s="172"/>
      <c r="D9" s="172"/>
      <c r="E9" s="372" t="s">
        <v>141</v>
      </c>
      <c r="F9" s="372"/>
      <c r="G9" s="392">
        <f>BDI!D36</f>
        <v>0.227957675415105</v>
      </c>
      <c r="H9" s="393"/>
    </row>
    <row r="10" spans="1:8" ht="21.95" customHeight="1">
      <c r="A10" s="190"/>
      <c r="B10" s="172"/>
      <c r="C10" s="172"/>
      <c r="D10" s="172"/>
      <c r="E10" s="372" t="s">
        <v>142</v>
      </c>
      <c r="F10" s="372"/>
      <c r="G10" s="392">
        <f>'ENC SOCIAIS'!F52</f>
        <v>1.1447000000000001</v>
      </c>
      <c r="H10" s="393"/>
    </row>
    <row r="11" spans="1:8" ht="21.95" customHeight="1">
      <c r="A11" s="204" t="s">
        <v>6</v>
      </c>
      <c r="B11" s="373" t="str">
        <f>'Orçamento Sintético'!B9:D9</f>
        <v>SINAPI: SETEMBRO/2022; ORSE: SETEMBRO/2022;</v>
      </c>
      <c r="C11" s="373"/>
      <c r="D11" s="373"/>
      <c r="E11" s="394" t="s">
        <v>143</v>
      </c>
      <c r="F11" s="394"/>
      <c r="G11" s="394"/>
      <c r="H11" s="395"/>
    </row>
    <row r="12" spans="1:8" ht="15" customHeight="1">
      <c r="A12" s="190"/>
      <c r="B12" s="172"/>
      <c r="C12" s="172"/>
      <c r="D12" s="172"/>
      <c r="E12" s="172"/>
      <c r="F12" s="172"/>
      <c r="G12" s="205"/>
      <c r="H12" s="196"/>
    </row>
    <row r="13" spans="1:8">
      <c r="A13" s="190"/>
      <c r="B13" s="172"/>
      <c r="C13" s="172"/>
      <c r="D13" s="172"/>
      <c r="E13" s="172"/>
      <c r="F13" s="172"/>
      <c r="G13" s="172"/>
      <c r="H13" s="196"/>
    </row>
    <row r="14" spans="1:8">
      <c r="A14" s="404" t="s">
        <v>197</v>
      </c>
      <c r="B14" s="406" t="s">
        <v>198</v>
      </c>
      <c r="C14" s="406" t="s">
        <v>199</v>
      </c>
      <c r="D14" s="408" t="s">
        <v>200</v>
      </c>
      <c r="E14" s="406" t="s">
        <v>201</v>
      </c>
      <c r="F14" s="414" t="s">
        <v>202</v>
      </c>
      <c r="G14" s="414" t="s">
        <v>203</v>
      </c>
      <c r="H14" s="416" t="s">
        <v>151</v>
      </c>
    </row>
    <row r="15" spans="1:8">
      <c r="A15" s="405"/>
      <c r="B15" s="407"/>
      <c r="C15" s="407"/>
      <c r="D15" s="409"/>
      <c r="E15" s="407"/>
      <c r="F15" s="415"/>
      <c r="G15" s="415"/>
      <c r="H15" s="417"/>
    </row>
    <row r="16" spans="1:8">
      <c r="A16" s="214" t="s">
        <v>171</v>
      </c>
      <c r="B16" s="215" t="s">
        <v>45</v>
      </c>
      <c r="C16" s="215" t="s">
        <v>204</v>
      </c>
      <c r="D16" s="216" t="s">
        <v>205</v>
      </c>
      <c r="E16" s="215" t="s">
        <v>206</v>
      </c>
      <c r="F16" s="217" t="s">
        <v>207</v>
      </c>
      <c r="G16" s="218">
        <v>115.01</v>
      </c>
      <c r="H16" s="219">
        <f>TRUNC(F16*G16,2)</f>
        <v>6.53</v>
      </c>
    </row>
    <row r="17" spans="1:8">
      <c r="A17" s="214" t="s">
        <v>171</v>
      </c>
      <c r="B17" s="215" t="s">
        <v>45</v>
      </c>
      <c r="C17" s="215" t="s">
        <v>208</v>
      </c>
      <c r="D17" s="216" t="s">
        <v>209</v>
      </c>
      <c r="E17" s="215" t="s">
        <v>206</v>
      </c>
      <c r="F17" s="217" t="s">
        <v>210</v>
      </c>
      <c r="G17" s="218">
        <v>93.58</v>
      </c>
      <c r="H17" s="219">
        <f t="shared" ref="H17:H24" si="0">TRUNC(F17*G17,2)</f>
        <v>0.6</v>
      </c>
    </row>
    <row r="18" spans="1:8" ht="33.75">
      <c r="A18" s="214" t="s">
        <v>171</v>
      </c>
      <c r="B18" s="215" t="s">
        <v>45</v>
      </c>
      <c r="C18" s="215" t="s">
        <v>211</v>
      </c>
      <c r="D18" s="216" t="s">
        <v>212</v>
      </c>
      <c r="E18" s="215" t="s">
        <v>213</v>
      </c>
      <c r="F18" s="217" t="s">
        <v>214</v>
      </c>
      <c r="G18" s="218">
        <v>41.95</v>
      </c>
      <c r="H18" s="219">
        <f t="shared" si="0"/>
        <v>42.08</v>
      </c>
    </row>
    <row r="19" spans="1:8">
      <c r="A19" s="214" t="s">
        <v>181</v>
      </c>
      <c r="B19" s="215" t="s">
        <v>45</v>
      </c>
      <c r="C19" s="215" t="s">
        <v>215</v>
      </c>
      <c r="D19" s="216" t="s">
        <v>216</v>
      </c>
      <c r="E19" s="215" t="s">
        <v>154</v>
      </c>
      <c r="F19" s="217" t="s">
        <v>217</v>
      </c>
      <c r="G19" s="218">
        <v>28.48</v>
      </c>
      <c r="H19" s="219">
        <f t="shared" si="0"/>
        <v>4.54</v>
      </c>
    </row>
    <row r="20" spans="1:8">
      <c r="A20" s="214" t="s">
        <v>181</v>
      </c>
      <c r="B20" s="215" t="s">
        <v>45</v>
      </c>
      <c r="C20" s="215" t="s">
        <v>218</v>
      </c>
      <c r="D20" s="216" t="s">
        <v>185</v>
      </c>
      <c r="E20" s="215" t="s">
        <v>154</v>
      </c>
      <c r="F20" s="217" t="s">
        <v>217</v>
      </c>
      <c r="G20" s="218">
        <v>19.920000000000002</v>
      </c>
      <c r="H20" s="219">
        <f t="shared" si="0"/>
        <v>3.17</v>
      </c>
    </row>
    <row r="21" spans="1:8" ht="22.5">
      <c r="A21" s="214" t="s">
        <v>181</v>
      </c>
      <c r="B21" s="215" t="s">
        <v>219</v>
      </c>
      <c r="C21" s="215" t="s">
        <v>220</v>
      </c>
      <c r="D21" s="216" t="s">
        <v>221</v>
      </c>
      <c r="E21" s="215" t="s">
        <v>164</v>
      </c>
      <c r="F21" s="217" t="s">
        <v>222</v>
      </c>
      <c r="G21" s="218">
        <v>8.25</v>
      </c>
      <c r="H21" s="219">
        <f t="shared" si="0"/>
        <v>0.03</v>
      </c>
    </row>
    <row r="22" spans="1:8" ht="22.5">
      <c r="A22" s="214" t="s">
        <v>181</v>
      </c>
      <c r="B22" s="215" t="s">
        <v>219</v>
      </c>
      <c r="C22" s="215" t="s">
        <v>223</v>
      </c>
      <c r="D22" s="216" t="s">
        <v>224</v>
      </c>
      <c r="E22" s="215" t="s">
        <v>225</v>
      </c>
      <c r="F22" s="217" t="s">
        <v>226</v>
      </c>
      <c r="G22" s="218">
        <v>0.6</v>
      </c>
      <c r="H22" s="219">
        <f t="shared" si="0"/>
        <v>0.04</v>
      </c>
    </row>
    <row r="23" spans="1:8" ht="33.75">
      <c r="A23" s="214" t="s">
        <v>181</v>
      </c>
      <c r="B23" s="215" t="s">
        <v>45</v>
      </c>
      <c r="C23" s="215" t="s">
        <v>227</v>
      </c>
      <c r="D23" s="216" t="s">
        <v>228</v>
      </c>
      <c r="E23" s="215" t="s">
        <v>164</v>
      </c>
      <c r="F23" s="217" t="s">
        <v>229</v>
      </c>
      <c r="G23" s="218">
        <v>9.8699999999999992</v>
      </c>
      <c r="H23" s="219">
        <f t="shared" si="0"/>
        <v>0.03</v>
      </c>
    </row>
    <row r="24" spans="1:8" ht="33.75">
      <c r="A24" s="214" t="s">
        <v>181</v>
      </c>
      <c r="B24" s="215" t="s">
        <v>45</v>
      </c>
      <c r="C24" s="215" t="s">
        <v>230</v>
      </c>
      <c r="D24" s="216" t="s">
        <v>231</v>
      </c>
      <c r="E24" s="215" t="s">
        <v>225</v>
      </c>
      <c r="F24" s="217" t="s">
        <v>232</v>
      </c>
      <c r="G24" s="218">
        <v>0.92</v>
      </c>
      <c r="H24" s="219">
        <f t="shared" si="0"/>
        <v>0.06</v>
      </c>
    </row>
    <row r="25" spans="1:8">
      <c r="A25" s="220"/>
      <c r="B25" s="221"/>
      <c r="C25" s="221"/>
      <c r="D25" s="221"/>
      <c r="E25" s="396" t="s">
        <v>156</v>
      </c>
      <c r="F25" s="396"/>
      <c r="G25" s="397"/>
      <c r="H25" s="222">
        <f>SUM(H16:H24)</f>
        <v>57.08</v>
      </c>
    </row>
    <row r="26" spans="1:8">
      <c r="A26" s="223"/>
      <c r="B26" s="224"/>
      <c r="C26" s="224"/>
      <c r="D26" s="224"/>
      <c r="E26" s="225"/>
      <c r="F26" s="226" t="s">
        <v>233</v>
      </c>
      <c r="G26" s="227">
        <f>$G$9</f>
        <v>0.227957675415105</v>
      </c>
      <c r="H26" s="228">
        <f>ROUND(H25*G26,2)</f>
        <v>13.01</v>
      </c>
    </row>
    <row r="27" spans="1:8">
      <c r="A27" s="229"/>
      <c r="B27" s="230"/>
      <c r="C27" s="230"/>
      <c r="D27" s="230"/>
      <c r="E27" s="231"/>
      <c r="F27" s="231"/>
      <c r="G27" s="232" t="s">
        <v>234</v>
      </c>
      <c r="H27" s="233">
        <f>H25+H26</f>
        <v>70.09</v>
      </c>
    </row>
    <row r="28" spans="1:8">
      <c r="A28" s="234"/>
      <c r="B28" s="235"/>
      <c r="C28" s="235"/>
      <c r="D28" s="235"/>
      <c r="E28" s="236" t="str">
        <f>A14</f>
        <v>CPU-05</v>
      </c>
      <c r="F28" s="398" t="s">
        <v>158</v>
      </c>
      <c r="G28" s="399"/>
      <c r="H28" s="237">
        <f>H27</f>
        <v>70.09</v>
      </c>
    </row>
    <row r="29" spans="1:8">
      <c r="A29" s="190"/>
      <c r="B29" s="172"/>
      <c r="C29" s="172"/>
      <c r="D29" s="172"/>
      <c r="E29" s="172"/>
      <c r="F29" s="172"/>
      <c r="G29" s="172"/>
      <c r="H29" s="196"/>
    </row>
    <row r="30" spans="1:8">
      <c r="A30" s="190"/>
      <c r="B30" s="172"/>
      <c r="C30" s="172"/>
      <c r="D30" s="172"/>
      <c r="E30" s="172"/>
      <c r="F30" s="172"/>
      <c r="G30" s="172"/>
      <c r="H30" s="196"/>
    </row>
    <row r="31" spans="1:8" ht="21">
      <c r="A31" s="206" t="s">
        <v>235</v>
      </c>
      <c r="B31" s="207" t="s">
        <v>198</v>
      </c>
      <c r="C31" s="207"/>
      <c r="D31" s="238" t="s">
        <v>236</v>
      </c>
      <c r="E31" s="207" t="s">
        <v>201</v>
      </c>
      <c r="F31" s="208" t="s">
        <v>202</v>
      </c>
      <c r="G31" s="208" t="s">
        <v>203</v>
      </c>
      <c r="H31" s="209" t="s">
        <v>151</v>
      </c>
    </row>
    <row r="32" spans="1:8">
      <c r="A32" s="210"/>
      <c r="B32" s="211"/>
      <c r="C32" s="211"/>
      <c r="D32" s="239"/>
      <c r="E32" s="211"/>
      <c r="F32" s="212"/>
      <c r="G32" s="212"/>
      <c r="H32" s="213"/>
    </row>
    <row r="33" spans="1:8">
      <c r="A33" s="214" t="s">
        <v>181</v>
      </c>
      <c r="B33" s="215" t="s">
        <v>237</v>
      </c>
      <c r="C33" s="215">
        <v>88262</v>
      </c>
      <c r="D33" s="216" t="s">
        <v>184</v>
      </c>
      <c r="E33" s="215" t="s">
        <v>154</v>
      </c>
      <c r="F33" s="217">
        <v>2.2559999999999998</v>
      </c>
      <c r="G33" s="218">
        <v>28.32</v>
      </c>
      <c r="H33" s="219">
        <f>F33*G33</f>
        <v>63.889919999999996</v>
      </c>
    </row>
    <row r="34" spans="1:8">
      <c r="A34" s="214" t="s">
        <v>171</v>
      </c>
      <c r="B34" s="215" t="s">
        <v>237</v>
      </c>
      <c r="C34" s="215">
        <v>4460</v>
      </c>
      <c r="D34" s="216" t="s">
        <v>238</v>
      </c>
      <c r="E34" s="215" t="s">
        <v>72</v>
      </c>
      <c r="F34" s="217">
        <v>2.5</v>
      </c>
      <c r="G34" s="218">
        <v>9.6999999999999993</v>
      </c>
      <c r="H34" s="219">
        <f>F34*G34</f>
        <v>24.25</v>
      </c>
    </row>
    <row r="35" spans="1:8">
      <c r="A35" s="214" t="s">
        <v>171</v>
      </c>
      <c r="B35" s="215" t="s">
        <v>237</v>
      </c>
      <c r="C35" s="215">
        <v>4517</v>
      </c>
      <c r="D35" s="216" t="s">
        <v>239</v>
      </c>
      <c r="E35" s="215" t="s">
        <v>72</v>
      </c>
      <c r="F35" s="217">
        <v>2</v>
      </c>
      <c r="G35" s="218">
        <v>3.37</v>
      </c>
      <c r="H35" s="219">
        <f>F35*G35</f>
        <v>6.74</v>
      </c>
    </row>
    <row r="36" spans="1:8" ht="12.75" customHeight="1">
      <c r="A36" s="214" t="s">
        <v>181</v>
      </c>
      <c r="B36" s="215" t="s">
        <v>237</v>
      </c>
      <c r="C36" s="215">
        <v>94964</v>
      </c>
      <c r="D36" s="216" t="s">
        <v>240</v>
      </c>
      <c r="E36" s="215" t="s">
        <v>241</v>
      </c>
      <c r="F36" s="217">
        <v>1.2130000000000001</v>
      </c>
      <c r="G36" s="218">
        <v>520.63</v>
      </c>
      <c r="H36" s="219">
        <f>F36*G36</f>
        <v>631.52418999999998</v>
      </c>
    </row>
    <row r="37" spans="1:8">
      <c r="A37" s="220"/>
      <c r="B37" s="221"/>
      <c r="C37" s="221"/>
      <c r="D37" s="221"/>
      <c r="E37" s="396" t="s">
        <v>156</v>
      </c>
      <c r="F37" s="396"/>
      <c r="G37" s="397"/>
      <c r="H37" s="222">
        <f>SUM(H33:H36)</f>
        <v>726.40410999999995</v>
      </c>
    </row>
    <row r="38" spans="1:8">
      <c r="A38" s="223"/>
      <c r="B38" s="224"/>
      <c r="C38" s="224"/>
      <c r="D38" s="224"/>
      <c r="E38" s="225"/>
      <c r="F38" s="226" t="s">
        <v>233</v>
      </c>
      <c r="G38" s="227">
        <f>$G$9</f>
        <v>0.227957675415105</v>
      </c>
      <c r="H38" s="228">
        <f>ROUND(H37*G38,2)</f>
        <v>165.59</v>
      </c>
    </row>
    <row r="39" spans="1:8">
      <c r="A39" s="229"/>
      <c r="B39" s="230"/>
      <c r="C39" s="230"/>
      <c r="D39" s="230"/>
      <c r="E39" s="231"/>
      <c r="F39" s="231"/>
      <c r="G39" s="232" t="s">
        <v>234</v>
      </c>
      <c r="H39" s="233">
        <f>H37+H38</f>
        <v>891.99410999999998</v>
      </c>
    </row>
    <row r="40" spans="1:8">
      <c r="A40" s="190"/>
      <c r="B40" s="172"/>
      <c r="C40" s="172"/>
      <c r="D40" s="172"/>
      <c r="E40" s="172"/>
      <c r="F40" s="172"/>
      <c r="G40" s="172"/>
      <c r="H40" s="196"/>
    </row>
    <row r="41" spans="1:8">
      <c r="A41" s="190"/>
      <c r="B41" s="172"/>
      <c r="C41" s="172"/>
      <c r="D41" s="172"/>
      <c r="E41" s="172"/>
      <c r="F41" s="172"/>
      <c r="G41" s="172"/>
      <c r="H41" s="196"/>
    </row>
    <row r="42" spans="1:8">
      <c r="A42" s="404" t="s">
        <v>242</v>
      </c>
      <c r="B42" s="406" t="s">
        <v>198</v>
      </c>
      <c r="C42" s="406"/>
      <c r="D42" s="410" t="s">
        <v>243</v>
      </c>
      <c r="E42" s="406" t="s">
        <v>201</v>
      </c>
      <c r="F42" s="414" t="s">
        <v>202</v>
      </c>
      <c r="G42" s="414" t="s">
        <v>203</v>
      </c>
      <c r="H42" s="416" t="s">
        <v>151</v>
      </c>
    </row>
    <row r="43" spans="1:8">
      <c r="A43" s="405"/>
      <c r="B43" s="407"/>
      <c r="C43" s="407"/>
      <c r="D43" s="411" t="s">
        <v>244</v>
      </c>
      <c r="E43" s="407"/>
      <c r="F43" s="415"/>
      <c r="G43" s="415"/>
      <c r="H43" s="417"/>
    </row>
    <row r="44" spans="1:8">
      <c r="A44" s="214" t="s">
        <v>181</v>
      </c>
      <c r="B44" s="215" t="s">
        <v>237</v>
      </c>
      <c r="C44" s="215">
        <v>88262</v>
      </c>
      <c r="D44" s="216" t="s">
        <v>184</v>
      </c>
      <c r="E44" s="215" t="s">
        <v>154</v>
      </c>
      <c r="F44" s="217">
        <v>0.5</v>
      </c>
      <c r="G44" s="218">
        <v>28.32</v>
      </c>
      <c r="H44" s="219">
        <f t="shared" ref="H44:H51" si="1">F44*G44</f>
        <v>14.16</v>
      </c>
    </row>
    <row r="45" spans="1:8">
      <c r="A45" s="214" t="s">
        <v>181</v>
      </c>
      <c r="B45" s="215" t="s">
        <v>237</v>
      </c>
      <c r="C45" s="215">
        <v>88239</v>
      </c>
      <c r="D45" s="216" t="s">
        <v>245</v>
      </c>
      <c r="E45" s="215" t="s">
        <v>154</v>
      </c>
      <c r="F45" s="217">
        <v>0.5</v>
      </c>
      <c r="G45" s="218">
        <v>20.52</v>
      </c>
      <c r="H45" s="219">
        <f t="shared" si="1"/>
        <v>10.26</v>
      </c>
    </row>
    <row r="46" spans="1:8">
      <c r="A46" s="214" t="s">
        <v>171</v>
      </c>
      <c r="B46" s="215" t="s">
        <v>37</v>
      </c>
      <c r="C46" s="215">
        <v>1685</v>
      </c>
      <c r="D46" s="216" t="s">
        <v>246</v>
      </c>
      <c r="E46" s="215" t="s">
        <v>148</v>
      </c>
      <c r="F46" s="217">
        <v>12</v>
      </c>
      <c r="G46" s="218">
        <v>9.75</v>
      </c>
      <c r="H46" s="219">
        <f t="shared" si="1"/>
        <v>117</v>
      </c>
    </row>
    <row r="47" spans="1:8">
      <c r="A47" s="214" t="s">
        <v>181</v>
      </c>
      <c r="B47" s="215" t="s">
        <v>37</v>
      </c>
      <c r="C47" s="215">
        <v>11636</v>
      </c>
      <c r="D47" s="216" t="s">
        <v>247</v>
      </c>
      <c r="E47" s="215" t="s">
        <v>248</v>
      </c>
      <c r="F47" s="217">
        <v>0.8</v>
      </c>
      <c r="G47" s="218">
        <v>114.78</v>
      </c>
      <c r="H47" s="219">
        <f t="shared" si="1"/>
        <v>91.823999999999998</v>
      </c>
    </row>
    <row r="48" spans="1:8" ht="22.5">
      <c r="A48" s="214" t="s">
        <v>181</v>
      </c>
      <c r="B48" s="215" t="s">
        <v>237</v>
      </c>
      <c r="C48" s="215">
        <v>94964</v>
      </c>
      <c r="D48" s="216" t="s">
        <v>240</v>
      </c>
      <c r="E48" s="215" t="s">
        <v>241</v>
      </c>
      <c r="F48" s="217">
        <v>0.2</v>
      </c>
      <c r="G48" s="218">
        <v>520.63</v>
      </c>
      <c r="H48" s="219">
        <f t="shared" si="1"/>
        <v>104.126</v>
      </c>
    </row>
    <row r="49" spans="1:8">
      <c r="A49" s="214" t="s">
        <v>171</v>
      </c>
      <c r="B49" s="215" t="s">
        <v>45</v>
      </c>
      <c r="C49" s="215">
        <v>20213</v>
      </c>
      <c r="D49" s="216" t="s">
        <v>249</v>
      </c>
      <c r="E49" s="215" t="s">
        <v>72</v>
      </c>
      <c r="F49" s="217">
        <v>6</v>
      </c>
      <c r="G49" s="218">
        <v>26.57</v>
      </c>
      <c r="H49" s="219">
        <f t="shared" si="1"/>
        <v>159.41999999999999</v>
      </c>
    </row>
    <row r="50" spans="1:8">
      <c r="A50" s="214" t="s">
        <v>181</v>
      </c>
      <c r="B50" s="215" t="s">
        <v>45</v>
      </c>
      <c r="C50" s="215">
        <v>92763</v>
      </c>
      <c r="D50" s="216" t="s">
        <v>250</v>
      </c>
      <c r="E50" s="215" t="s">
        <v>251</v>
      </c>
      <c r="F50" s="217">
        <v>24</v>
      </c>
      <c r="G50" s="218">
        <v>11.43</v>
      </c>
      <c r="H50" s="219">
        <f t="shared" si="1"/>
        <v>274.32</v>
      </c>
    </row>
    <row r="51" spans="1:8" ht="14.25">
      <c r="A51" s="214" t="s">
        <v>181</v>
      </c>
      <c r="B51" s="215" t="s">
        <v>45</v>
      </c>
      <c r="C51" s="215">
        <v>102203</v>
      </c>
      <c r="D51" s="216" t="s">
        <v>252</v>
      </c>
      <c r="E51" s="240" t="s">
        <v>23</v>
      </c>
      <c r="F51" s="217">
        <v>1.44</v>
      </c>
      <c r="G51" s="218">
        <v>10.02</v>
      </c>
      <c r="H51" s="219">
        <f t="shared" si="1"/>
        <v>14.428800000000001</v>
      </c>
    </row>
    <row r="52" spans="1:8">
      <c r="A52" s="220"/>
      <c r="B52" s="221"/>
      <c r="C52" s="221"/>
      <c r="D52" s="221"/>
      <c r="E52" s="396" t="s">
        <v>156</v>
      </c>
      <c r="F52" s="396"/>
      <c r="G52" s="397"/>
      <c r="H52" s="222">
        <f>SUM(H44:H51)</f>
        <v>785.53880000000004</v>
      </c>
    </row>
    <row r="53" spans="1:8">
      <c r="A53" s="223"/>
      <c r="B53" s="224"/>
      <c r="C53" s="224"/>
      <c r="D53" s="224"/>
      <c r="E53" s="225"/>
      <c r="F53" s="226" t="s">
        <v>233</v>
      </c>
      <c r="G53" s="227">
        <f>$G$9</f>
        <v>0.227957675415105</v>
      </c>
      <c r="H53" s="228">
        <f>ROUND(H52*G53,2)</f>
        <v>179.07</v>
      </c>
    </row>
    <row r="54" spans="1:8">
      <c r="A54" s="229"/>
      <c r="B54" s="230"/>
      <c r="C54" s="230"/>
      <c r="D54" s="230"/>
      <c r="E54" s="231"/>
      <c r="F54" s="231"/>
      <c r="G54" s="232" t="s">
        <v>234</v>
      </c>
      <c r="H54" s="233">
        <f>H52+H53</f>
        <v>964.60879999999997</v>
      </c>
    </row>
    <row r="55" spans="1:8">
      <c r="A55" s="190"/>
      <c r="B55" s="172"/>
      <c r="C55" s="172"/>
      <c r="D55" s="172"/>
      <c r="E55" s="172"/>
      <c r="F55" s="172"/>
      <c r="G55" s="172"/>
      <c r="H55" s="196"/>
    </row>
    <row r="56" spans="1:8">
      <c r="A56" s="190"/>
      <c r="B56" s="172"/>
      <c r="C56" s="172"/>
      <c r="D56" s="172"/>
      <c r="E56" s="172"/>
      <c r="F56" s="172"/>
      <c r="G56" s="172"/>
      <c r="H56" s="196"/>
    </row>
    <row r="57" spans="1:8">
      <c r="A57" s="404" t="s">
        <v>253</v>
      </c>
      <c r="B57" s="406" t="s">
        <v>198</v>
      </c>
      <c r="C57" s="406"/>
      <c r="D57" s="410" t="s">
        <v>90</v>
      </c>
      <c r="E57" s="406" t="s">
        <v>201</v>
      </c>
      <c r="F57" s="414" t="s">
        <v>202</v>
      </c>
      <c r="G57" s="414" t="s">
        <v>203</v>
      </c>
      <c r="H57" s="416" t="s">
        <v>151</v>
      </c>
    </row>
    <row r="58" spans="1:8">
      <c r="A58" s="405"/>
      <c r="B58" s="407"/>
      <c r="C58" s="407"/>
      <c r="D58" s="411" t="s">
        <v>244</v>
      </c>
      <c r="E58" s="407"/>
      <c r="F58" s="415"/>
      <c r="G58" s="415"/>
      <c r="H58" s="417"/>
    </row>
    <row r="59" spans="1:8">
      <c r="A59" s="241" t="s">
        <v>181</v>
      </c>
      <c r="B59" s="242" t="s">
        <v>37</v>
      </c>
      <c r="C59" s="242">
        <v>2418</v>
      </c>
      <c r="D59" s="243" t="s">
        <v>254</v>
      </c>
      <c r="E59" s="242" t="s">
        <v>148</v>
      </c>
      <c r="F59" s="244">
        <v>1</v>
      </c>
      <c r="G59" s="245">
        <v>1690</v>
      </c>
      <c r="H59" s="246">
        <f>F59*G59</f>
        <v>1690</v>
      </c>
    </row>
    <row r="60" spans="1:8">
      <c r="A60" s="241" t="s">
        <v>181</v>
      </c>
      <c r="B60" s="242" t="s">
        <v>37</v>
      </c>
      <c r="C60" s="242">
        <v>2440</v>
      </c>
      <c r="D60" s="243" t="s">
        <v>255</v>
      </c>
      <c r="E60" s="242" t="s">
        <v>148</v>
      </c>
      <c r="F60" s="244">
        <v>1</v>
      </c>
      <c r="G60" s="245">
        <v>3990</v>
      </c>
      <c r="H60" s="246">
        <f>F60*G60</f>
        <v>3990</v>
      </c>
    </row>
    <row r="61" spans="1:8" ht="22.5">
      <c r="A61" s="241" t="s">
        <v>181</v>
      </c>
      <c r="B61" s="242" t="s">
        <v>37</v>
      </c>
      <c r="C61" s="242">
        <v>9160</v>
      </c>
      <c r="D61" s="243" t="s">
        <v>256</v>
      </c>
      <c r="E61" s="242" t="s">
        <v>148</v>
      </c>
      <c r="F61" s="244">
        <v>1</v>
      </c>
      <c r="G61" s="245">
        <v>3884.3</v>
      </c>
      <c r="H61" s="246">
        <f>F61*G61</f>
        <v>3884.3</v>
      </c>
    </row>
    <row r="62" spans="1:8">
      <c r="A62" s="241" t="s">
        <v>181</v>
      </c>
      <c r="B62" s="242" t="s">
        <v>37</v>
      </c>
      <c r="C62" s="242">
        <v>2406</v>
      </c>
      <c r="D62" s="243" t="s">
        <v>257</v>
      </c>
      <c r="E62" s="242" t="s">
        <v>148</v>
      </c>
      <c r="F62" s="244">
        <v>1</v>
      </c>
      <c r="G62" s="245">
        <v>2830</v>
      </c>
      <c r="H62" s="246">
        <f>F62*G62</f>
        <v>2830</v>
      </c>
    </row>
    <row r="63" spans="1:8">
      <c r="A63" s="247"/>
      <c r="B63" s="248"/>
      <c r="C63" s="248"/>
      <c r="D63" s="248"/>
      <c r="E63" s="400" t="s">
        <v>156</v>
      </c>
      <c r="F63" s="400"/>
      <c r="G63" s="401"/>
      <c r="H63" s="249">
        <f>SUM(H59:H62)</f>
        <v>12394.3</v>
      </c>
    </row>
    <row r="64" spans="1:8" ht="15.75" customHeight="1">
      <c r="A64" s="250"/>
      <c r="B64" s="251"/>
      <c r="C64" s="251"/>
      <c r="D64" s="251"/>
      <c r="E64" s="225"/>
      <c r="F64" s="226" t="s">
        <v>233</v>
      </c>
      <c r="G64" s="227">
        <f>$G$9</f>
        <v>0.227957675415105</v>
      </c>
      <c r="H64" s="228">
        <f>ROUND(H63*G64,2)</f>
        <v>2825.38</v>
      </c>
    </row>
    <row r="65" spans="1:8">
      <c r="A65" s="252"/>
      <c r="B65" s="253"/>
      <c r="C65" s="253"/>
      <c r="D65" s="253"/>
      <c r="E65" s="231"/>
      <c r="F65" s="231"/>
      <c r="G65" s="232" t="s">
        <v>234</v>
      </c>
      <c r="H65" s="233">
        <f>H63+H64</f>
        <v>15219.68</v>
      </c>
    </row>
    <row r="66" spans="1:8">
      <c r="A66" s="190"/>
      <c r="B66" s="172"/>
      <c r="C66" s="172"/>
      <c r="D66" s="172"/>
      <c r="E66" s="172"/>
      <c r="F66" s="172"/>
      <c r="G66" s="172"/>
      <c r="H66" s="196"/>
    </row>
    <row r="67" spans="1:8">
      <c r="A67" s="190"/>
      <c r="B67" s="172"/>
      <c r="C67" s="172"/>
      <c r="D67" s="172"/>
      <c r="E67" s="172"/>
      <c r="F67" s="172"/>
      <c r="G67" s="172"/>
      <c r="H67" s="196"/>
    </row>
    <row r="68" spans="1:8" ht="21">
      <c r="A68" s="206" t="s">
        <v>258</v>
      </c>
      <c r="B68" s="207" t="s">
        <v>198</v>
      </c>
      <c r="C68" s="207" t="s">
        <v>259</v>
      </c>
      <c r="D68" s="412" t="s">
        <v>107</v>
      </c>
      <c r="E68" s="207" t="s">
        <v>201</v>
      </c>
      <c r="F68" s="208" t="s">
        <v>202</v>
      </c>
      <c r="G68" s="208" t="s">
        <v>203</v>
      </c>
      <c r="H68" s="209" t="s">
        <v>151</v>
      </c>
    </row>
    <row r="69" spans="1:8">
      <c r="A69" s="210"/>
      <c r="B69" s="211"/>
      <c r="C69" s="211"/>
      <c r="D69" s="413"/>
      <c r="E69" s="211"/>
      <c r="F69" s="212"/>
      <c r="G69" s="212"/>
      <c r="H69" s="213"/>
    </row>
    <row r="70" spans="1:8">
      <c r="A70" s="214" t="s">
        <v>181</v>
      </c>
      <c r="B70" s="215" t="s">
        <v>237</v>
      </c>
      <c r="C70" s="215">
        <v>93358</v>
      </c>
      <c r="D70" s="216" t="s">
        <v>260</v>
      </c>
      <c r="E70" s="215" t="s">
        <v>241</v>
      </c>
      <c r="F70" s="217">
        <v>0.2</v>
      </c>
      <c r="G70" s="218">
        <v>78.8</v>
      </c>
      <c r="H70" s="219">
        <f>F70*G70</f>
        <v>15.76</v>
      </c>
    </row>
    <row r="71" spans="1:8" ht="22.5">
      <c r="A71" s="214" t="s">
        <v>181</v>
      </c>
      <c r="B71" s="215" t="s">
        <v>237</v>
      </c>
      <c r="C71" s="215">
        <v>94964</v>
      </c>
      <c r="D71" s="216" t="s">
        <v>240</v>
      </c>
      <c r="E71" s="215" t="s">
        <v>241</v>
      </c>
      <c r="F71" s="217">
        <v>0.2</v>
      </c>
      <c r="G71" s="218">
        <v>520.63</v>
      </c>
      <c r="H71" s="219">
        <f t="shared" ref="H71:H79" si="2">F71*G71</f>
        <v>104.126</v>
      </c>
    </row>
    <row r="72" spans="1:8">
      <c r="A72" s="214" t="s">
        <v>171</v>
      </c>
      <c r="B72" s="215" t="s">
        <v>45</v>
      </c>
      <c r="C72" s="215">
        <v>863</v>
      </c>
      <c r="D72" s="216" t="s">
        <v>261</v>
      </c>
      <c r="E72" s="215" t="s">
        <v>72</v>
      </c>
      <c r="F72" s="217">
        <v>9</v>
      </c>
      <c r="G72" s="218">
        <v>37.31</v>
      </c>
      <c r="H72" s="219">
        <f t="shared" si="2"/>
        <v>335.79</v>
      </c>
    </row>
    <row r="73" spans="1:8">
      <c r="A73" s="214" t="s">
        <v>171</v>
      </c>
      <c r="B73" s="215" t="s">
        <v>45</v>
      </c>
      <c r="C73" s="215">
        <v>39746</v>
      </c>
      <c r="D73" s="216" t="s">
        <v>262</v>
      </c>
      <c r="E73" s="215" t="s">
        <v>148</v>
      </c>
      <c r="F73" s="217">
        <v>4</v>
      </c>
      <c r="G73" s="218">
        <v>321.45</v>
      </c>
      <c r="H73" s="219">
        <f t="shared" si="2"/>
        <v>1285.8</v>
      </c>
    </row>
    <row r="74" spans="1:8">
      <c r="A74" s="214" t="s">
        <v>171</v>
      </c>
      <c r="B74" s="215" t="s">
        <v>37</v>
      </c>
      <c r="C74" s="215">
        <v>14165</v>
      </c>
      <c r="D74" s="216" t="s">
        <v>263</v>
      </c>
      <c r="E74" s="215" t="s">
        <v>148</v>
      </c>
      <c r="F74" s="217">
        <v>1</v>
      </c>
      <c r="G74" s="218">
        <v>2381.5100000000002</v>
      </c>
      <c r="H74" s="219">
        <f t="shared" si="2"/>
        <v>2381.5100000000002</v>
      </c>
    </row>
    <row r="75" spans="1:8">
      <c r="A75" s="214" t="s">
        <v>181</v>
      </c>
      <c r="B75" s="215" t="s">
        <v>45</v>
      </c>
      <c r="C75" s="215">
        <v>88264</v>
      </c>
      <c r="D75" s="216" t="s">
        <v>264</v>
      </c>
      <c r="E75" s="215" t="s">
        <v>154</v>
      </c>
      <c r="F75" s="217">
        <v>3.2631000000000001</v>
      </c>
      <c r="G75" s="218">
        <v>28.88</v>
      </c>
      <c r="H75" s="219">
        <f t="shared" si="2"/>
        <v>94.238327999999996</v>
      </c>
    </row>
    <row r="76" spans="1:8">
      <c r="A76" s="214" t="s">
        <v>181</v>
      </c>
      <c r="B76" s="215" t="s">
        <v>45</v>
      </c>
      <c r="C76" s="215">
        <v>88247</v>
      </c>
      <c r="D76" s="216" t="s">
        <v>265</v>
      </c>
      <c r="E76" s="215" t="s">
        <v>154</v>
      </c>
      <c r="F76" s="217">
        <v>1.1691</v>
      </c>
      <c r="G76" s="218">
        <v>20.89</v>
      </c>
      <c r="H76" s="219">
        <f t="shared" si="2"/>
        <v>24.422498999999998</v>
      </c>
    </row>
    <row r="77" spans="1:8">
      <c r="A77" s="214" t="s">
        <v>171</v>
      </c>
      <c r="B77" s="215" t="s">
        <v>45</v>
      </c>
      <c r="C77" s="215">
        <v>21127</v>
      </c>
      <c r="D77" s="216" t="s">
        <v>266</v>
      </c>
      <c r="E77" s="215" t="s">
        <v>148</v>
      </c>
      <c r="F77" s="217">
        <v>1.4E-2</v>
      </c>
      <c r="G77" s="218">
        <v>3.4</v>
      </c>
      <c r="H77" s="219">
        <f t="shared" si="2"/>
        <v>4.7600000000000003E-2</v>
      </c>
    </row>
    <row r="78" spans="1:8">
      <c r="A78" s="214" t="s">
        <v>171</v>
      </c>
      <c r="B78" s="215" t="s">
        <v>45</v>
      </c>
      <c r="C78" s="215">
        <v>42247</v>
      </c>
      <c r="D78" s="216" t="s">
        <v>267</v>
      </c>
      <c r="E78" s="215" t="s">
        <v>148</v>
      </c>
      <c r="F78" s="217">
        <v>2</v>
      </c>
      <c r="G78" s="218">
        <v>728.86</v>
      </c>
      <c r="H78" s="219">
        <f t="shared" si="2"/>
        <v>1457.72</v>
      </c>
    </row>
    <row r="79" spans="1:8">
      <c r="A79" s="214" t="s">
        <v>181</v>
      </c>
      <c r="B79" s="215" t="s">
        <v>37</v>
      </c>
      <c r="C79" s="215">
        <v>2455</v>
      </c>
      <c r="D79" s="216" t="s">
        <v>268</v>
      </c>
      <c r="E79" s="215" t="s">
        <v>154</v>
      </c>
      <c r="F79" s="217">
        <v>1</v>
      </c>
      <c r="G79" s="218">
        <v>100.69</v>
      </c>
      <c r="H79" s="219">
        <f t="shared" si="2"/>
        <v>100.69</v>
      </c>
    </row>
    <row r="80" spans="1:8">
      <c r="A80" s="220"/>
      <c r="B80" s="221"/>
      <c r="C80" s="221"/>
      <c r="D80" s="221"/>
      <c r="E80" s="396" t="s">
        <v>156</v>
      </c>
      <c r="F80" s="396"/>
      <c r="G80" s="397"/>
      <c r="H80" s="222">
        <f>SUM(H70:H79)</f>
        <v>5800.1044270000002</v>
      </c>
    </row>
    <row r="81" spans="1:8">
      <c r="A81" s="223"/>
      <c r="B81" s="224"/>
      <c r="C81" s="224"/>
      <c r="D81" s="224"/>
      <c r="E81" s="225"/>
      <c r="F81" s="226" t="s">
        <v>233</v>
      </c>
      <c r="G81" s="227">
        <f>$G$9</f>
        <v>0.227957675415105</v>
      </c>
      <c r="H81" s="228">
        <f>ROUND(H80*G81,2)</f>
        <v>1322.18</v>
      </c>
    </row>
    <row r="82" spans="1:8" ht="12.75" customHeight="1">
      <c r="A82" s="229"/>
      <c r="B82" s="230"/>
      <c r="C82" s="230"/>
      <c r="D82" s="230"/>
      <c r="E82" s="231"/>
      <c r="F82" s="231"/>
      <c r="G82" s="232" t="s">
        <v>234</v>
      </c>
      <c r="H82" s="233">
        <f>H80+H81</f>
        <v>7122.2844270000005</v>
      </c>
    </row>
    <row r="83" spans="1:8">
      <c r="A83" s="234"/>
      <c r="B83" s="235"/>
      <c r="C83" s="235"/>
      <c r="D83" s="235"/>
      <c r="E83" s="236" t="str">
        <f>A68</f>
        <v>CPU-09</v>
      </c>
      <c r="F83" s="398" t="s">
        <v>158</v>
      </c>
      <c r="G83" s="399"/>
      <c r="H83" s="237">
        <f>H82</f>
        <v>7122.2844270000005</v>
      </c>
    </row>
    <row r="84" spans="1:8">
      <c r="A84" s="190"/>
      <c r="B84" s="172"/>
      <c r="C84" s="172"/>
      <c r="D84" s="172"/>
      <c r="E84" s="172"/>
      <c r="F84" s="172"/>
      <c r="G84" s="172"/>
      <c r="H84" s="196"/>
    </row>
    <row r="85" spans="1:8">
      <c r="A85" s="190"/>
      <c r="B85" s="172"/>
      <c r="C85" s="172"/>
      <c r="D85" s="172"/>
      <c r="E85" s="172"/>
      <c r="F85" s="172"/>
      <c r="G85" s="172"/>
      <c r="H85" s="196"/>
    </row>
    <row r="86" spans="1:8">
      <c r="A86" s="190"/>
      <c r="B86" s="172"/>
      <c r="C86" s="172"/>
      <c r="D86" s="172"/>
      <c r="E86" s="172"/>
      <c r="F86" s="172"/>
      <c r="G86" s="172"/>
      <c r="H86" s="196"/>
    </row>
    <row r="87" spans="1:8">
      <c r="A87" s="190"/>
      <c r="B87" s="172"/>
      <c r="C87" s="172"/>
      <c r="D87" s="172"/>
      <c r="E87" s="172"/>
      <c r="F87" s="172"/>
      <c r="G87" s="172"/>
      <c r="H87" s="196"/>
    </row>
    <row r="88" spans="1:8" ht="90.75" customHeight="1">
      <c r="A88" s="354" t="str">
        <f>'Orçamento Sintético'!A64:I64</f>
        <v>_______________________________________________________________
KAUÊ BRESSAN ANTUNES
Engenheiro Civil
ART: BA20220292693
CREA: 5063735828-SP</v>
      </c>
      <c r="B88" s="402"/>
      <c r="C88" s="402"/>
      <c r="D88" s="402"/>
      <c r="E88" s="402"/>
      <c r="F88" s="402"/>
      <c r="G88" s="402"/>
      <c r="H88" s="403"/>
    </row>
  </sheetData>
  <mergeCells count="44">
    <mergeCell ref="G14:G15"/>
    <mergeCell ref="G42:G43"/>
    <mergeCell ref="G57:G58"/>
    <mergeCell ref="H14:H15"/>
    <mergeCell ref="H42:H43"/>
    <mergeCell ref="H57:H58"/>
    <mergeCell ref="E14:E15"/>
    <mergeCell ref="E42:E43"/>
    <mergeCell ref="E57:E58"/>
    <mergeCell ref="F14:F15"/>
    <mergeCell ref="F42:F43"/>
    <mergeCell ref="F57:F58"/>
    <mergeCell ref="E80:G80"/>
    <mergeCell ref="F83:G83"/>
    <mergeCell ref="A88:H88"/>
    <mergeCell ref="A14:A15"/>
    <mergeCell ref="A42:A43"/>
    <mergeCell ref="A57:A58"/>
    <mergeCell ref="B14:B15"/>
    <mergeCell ref="B42:B43"/>
    <mergeCell ref="B57:B58"/>
    <mergeCell ref="C14:C15"/>
    <mergeCell ref="C42:C43"/>
    <mergeCell ref="C57:C58"/>
    <mergeCell ref="D14:D15"/>
    <mergeCell ref="D42:D43"/>
    <mergeCell ref="D57:D58"/>
    <mergeCell ref="D68:D69"/>
    <mergeCell ref="E25:G25"/>
    <mergeCell ref="F28:G28"/>
    <mergeCell ref="E37:G37"/>
    <mergeCell ref="E52:G52"/>
    <mergeCell ref="E63:G63"/>
    <mergeCell ref="E9:F9"/>
    <mergeCell ref="G9:H9"/>
    <mergeCell ref="E10:F10"/>
    <mergeCell ref="G10:H10"/>
    <mergeCell ref="B11:D11"/>
    <mergeCell ref="E11:H11"/>
    <mergeCell ref="C1:G1"/>
    <mergeCell ref="C2:G2"/>
    <mergeCell ref="C3:G3"/>
    <mergeCell ref="A5:G5"/>
    <mergeCell ref="A7:H7"/>
  </mergeCells>
  <pageMargins left="0.511811024" right="0.511811024" top="0.78740157499999996" bottom="0.78740157499999996" header="0.31496062000000002" footer="0.31496062000000002"/>
  <pageSetup paperSize="9" scale="4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6"/>
  <sheetViews>
    <sheetView showGridLines="0" view="pageBreakPreview" zoomScale="106" workbookViewId="0">
      <selection activeCell="R14" sqref="R14"/>
    </sheetView>
  </sheetViews>
  <sheetFormatPr defaultColWidth="8" defaultRowHeight="12.75"/>
  <cols>
    <col min="1" max="1" width="8" style="2"/>
    <col min="2" max="2" width="24.125" style="2" customWidth="1"/>
    <col min="3" max="6" width="8" style="2"/>
    <col min="7" max="7" width="12.625" style="2" customWidth="1"/>
    <col min="8" max="10" width="8" style="2"/>
    <col min="11" max="11" width="7.25" style="2" customWidth="1"/>
    <col min="12" max="16384" width="8" style="2"/>
  </cols>
  <sheetData>
    <row r="1" spans="1:14" s="167" customFormat="1" ht="12.75" customHeight="1">
      <c r="A1" s="418" t="s">
        <v>269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419"/>
    </row>
    <row r="2" spans="1:14" s="167" customFormat="1" ht="12.75" customHeight="1">
      <c r="A2" s="420" t="s">
        <v>270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421"/>
    </row>
    <row r="3" spans="1:14" s="167" customFormat="1" ht="12.75" customHeight="1">
      <c r="A3" s="420" t="s">
        <v>271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421"/>
    </row>
    <row r="4" spans="1:14" ht="14.25">
      <c r="A4" s="168"/>
      <c r="B4" s="169"/>
      <c r="C4" s="169"/>
      <c r="D4" s="170"/>
      <c r="E4" s="170"/>
      <c r="F4" s="171"/>
      <c r="G4" s="172"/>
      <c r="H4" s="172"/>
      <c r="I4" s="172"/>
      <c r="J4" s="172"/>
      <c r="K4" s="172"/>
      <c r="L4" s="172"/>
      <c r="M4" s="172"/>
      <c r="N4" s="196"/>
    </row>
    <row r="5" spans="1:14" ht="55.5" customHeight="1">
      <c r="A5" s="422" t="str">
        <f>'Orçamento Sintético'!A5:I5</f>
        <v>Construção da Praça no Povoado Honorato, no município de Barro Alto/BA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4"/>
    </row>
    <row r="6" spans="1:14">
      <c r="A6" s="173"/>
      <c r="B6" s="174"/>
      <c r="C6" s="174"/>
      <c r="D6" s="175"/>
      <c r="E6" s="176"/>
      <c r="F6" s="171"/>
      <c r="G6" s="171"/>
      <c r="H6" s="171"/>
      <c r="I6" s="171"/>
      <c r="J6" s="172"/>
      <c r="K6" s="172"/>
      <c r="L6" s="172"/>
      <c r="M6" s="172"/>
      <c r="N6" s="196"/>
    </row>
    <row r="7" spans="1:14" ht="26.25" customHeight="1">
      <c r="A7" s="431" t="s">
        <v>272</v>
      </c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3"/>
    </row>
    <row r="8" spans="1:14" ht="12.75" customHeight="1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3"/>
    </row>
    <row r="9" spans="1:14">
      <c r="A9" s="177"/>
      <c r="B9" s="178"/>
      <c r="C9" s="425"/>
      <c r="D9" s="425"/>
      <c r="E9" s="425"/>
      <c r="F9" s="425"/>
      <c r="G9" s="425"/>
      <c r="H9" s="425"/>
      <c r="I9" s="425"/>
      <c r="J9" s="425"/>
      <c r="K9" s="172"/>
      <c r="L9" s="172"/>
      <c r="M9" s="172"/>
      <c r="N9" s="196"/>
    </row>
    <row r="10" spans="1:14" ht="20.25">
      <c r="A10" s="426"/>
      <c r="B10" s="427"/>
      <c r="C10" s="427"/>
      <c r="D10" s="427"/>
      <c r="E10" s="427"/>
      <c r="F10" s="427"/>
      <c r="G10" s="427"/>
      <c r="H10" s="427"/>
      <c r="I10" s="427"/>
      <c r="J10" s="427"/>
      <c r="K10" s="427"/>
      <c r="L10" s="427"/>
      <c r="M10" s="427"/>
      <c r="N10" s="428"/>
    </row>
    <row r="11" spans="1:14" ht="23.25">
      <c r="A11" s="179"/>
      <c r="B11" s="180"/>
      <c r="C11" s="180"/>
      <c r="D11" s="180"/>
      <c r="E11" s="180"/>
      <c r="F11" s="180"/>
      <c r="G11" s="172"/>
      <c r="H11" s="172"/>
      <c r="I11" s="172"/>
      <c r="J11" s="172"/>
      <c r="K11" s="172"/>
      <c r="L11" s="172"/>
      <c r="M11" s="172"/>
      <c r="N11" s="196"/>
    </row>
    <row r="12" spans="1:14">
      <c r="A12" s="181" t="s">
        <v>273</v>
      </c>
      <c r="B12" s="182"/>
      <c r="C12" s="183" t="s">
        <v>274</v>
      </c>
      <c r="D12" s="182"/>
      <c r="E12" s="184"/>
      <c r="F12" s="184"/>
      <c r="G12" s="172"/>
      <c r="H12" s="172"/>
      <c r="I12" s="172"/>
      <c r="J12" s="172"/>
      <c r="K12" s="172"/>
      <c r="L12" s="172"/>
      <c r="M12" s="172"/>
      <c r="N12" s="196"/>
    </row>
    <row r="13" spans="1:14">
      <c r="A13" s="181" t="s">
        <v>275</v>
      </c>
      <c r="B13" s="182"/>
      <c r="C13" s="183" t="s">
        <v>276</v>
      </c>
      <c r="D13" s="182"/>
      <c r="E13" s="184"/>
      <c r="F13" s="184"/>
      <c r="G13" s="172"/>
      <c r="H13" s="172"/>
      <c r="I13" s="172"/>
      <c r="J13" s="172"/>
      <c r="K13" s="172"/>
      <c r="L13" s="172"/>
      <c r="M13" s="172"/>
      <c r="N13" s="196"/>
    </row>
    <row r="14" spans="1:14">
      <c r="A14" s="185" t="s">
        <v>277</v>
      </c>
      <c r="B14" s="186"/>
      <c r="C14" s="187">
        <v>75</v>
      </c>
      <c r="D14" s="186" t="s">
        <v>278</v>
      </c>
      <c r="E14" s="172"/>
      <c r="F14" s="172"/>
      <c r="G14" s="172"/>
      <c r="H14" s="172"/>
      <c r="I14" s="172"/>
      <c r="J14" s="172"/>
      <c r="K14" s="172"/>
      <c r="L14" s="172"/>
      <c r="M14" s="172"/>
      <c r="N14" s="196"/>
    </row>
    <row r="15" spans="1:14">
      <c r="A15" s="185"/>
      <c r="B15" s="186"/>
      <c r="C15" s="188"/>
      <c r="D15" s="186"/>
      <c r="E15" s="172"/>
      <c r="F15" s="172"/>
      <c r="G15" s="172"/>
      <c r="H15" s="172"/>
      <c r="I15" s="172"/>
      <c r="J15" s="172"/>
      <c r="K15" s="172"/>
      <c r="L15" s="172"/>
      <c r="M15" s="172"/>
      <c r="N15" s="196"/>
    </row>
    <row r="16" spans="1:14">
      <c r="A16" s="185" t="s">
        <v>279</v>
      </c>
      <c r="B16" s="186"/>
      <c r="C16" s="189">
        <f>SUM(C14:C15)</f>
        <v>75</v>
      </c>
      <c r="D16" s="186" t="s">
        <v>278</v>
      </c>
      <c r="E16" s="172"/>
      <c r="F16" s="172"/>
      <c r="G16" s="172"/>
      <c r="H16" s="172"/>
      <c r="I16" s="172"/>
      <c r="J16" s="172"/>
      <c r="K16" s="172"/>
      <c r="L16" s="172"/>
      <c r="M16" s="172"/>
      <c r="N16" s="196"/>
    </row>
    <row r="17" spans="1:14">
      <c r="A17" s="185"/>
      <c r="B17" s="186"/>
      <c r="C17" s="186"/>
      <c r="D17" s="186"/>
      <c r="E17" s="172"/>
      <c r="F17" s="172"/>
      <c r="G17" s="172"/>
      <c r="H17" s="172"/>
      <c r="I17" s="172"/>
      <c r="J17" s="172"/>
      <c r="K17" s="172"/>
      <c r="L17" s="172"/>
      <c r="M17" s="172"/>
      <c r="N17" s="196"/>
    </row>
    <row r="18" spans="1:14">
      <c r="A18" s="185" t="s">
        <v>280</v>
      </c>
      <c r="B18" s="186"/>
      <c r="C18" s="186" t="s">
        <v>281</v>
      </c>
      <c r="D18" s="186"/>
      <c r="E18" s="172"/>
      <c r="F18" s="186"/>
      <c r="G18" s="186"/>
      <c r="H18" s="187">
        <v>7.2</v>
      </c>
      <c r="I18" s="186" t="s">
        <v>282</v>
      </c>
      <c r="J18" s="172"/>
      <c r="K18" s="172"/>
      <c r="L18" s="172"/>
      <c r="M18" s="172"/>
      <c r="N18" s="196"/>
    </row>
    <row r="19" spans="1:14">
      <c r="A19" s="185" t="s">
        <v>280</v>
      </c>
      <c r="B19" s="186"/>
      <c r="C19" s="186" t="s">
        <v>283</v>
      </c>
      <c r="D19" s="186"/>
      <c r="E19" s="172"/>
      <c r="F19" s="186"/>
      <c r="G19" s="186"/>
      <c r="H19" s="187">
        <v>2.4</v>
      </c>
      <c r="I19" s="186" t="s">
        <v>282</v>
      </c>
      <c r="J19" s="172"/>
      <c r="K19" s="172"/>
      <c r="L19" s="172"/>
      <c r="M19" s="172"/>
      <c r="N19" s="196"/>
    </row>
    <row r="20" spans="1:14">
      <c r="A20" s="185" t="s">
        <v>280</v>
      </c>
      <c r="B20" s="186"/>
      <c r="C20" s="186" t="s">
        <v>284</v>
      </c>
      <c r="D20" s="186"/>
      <c r="E20" s="172"/>
      <c r="F20" s="186"/>
      <c r="G20" s="186"/>
      <c r="H20" s="187">
        <v>11.5</v>
      </c>
      <c r="I20" s="186" t="s">
        <v>282</v>
      </c>
      <c r="J20" s="172"/>
      <c r="K20" s="172"/>
      <c r="L20" s="172"/>
      <c r="M20" s="172"/>
      <c r="N20" s="196"/>
    </row>
    <row r="21" spans="1:14">
      <c r="A21" s="185" t="s">
        <v>280</v>
      </c>
      <c r="B21" s="186"/>
      <c r="C21" s="186" t="s">
        <v>285</v>
      </c>
      <c r="D21" s="186"/>
      <c r="E21" s="172"/>
      <c r="F21" s="186"/>
      <c r="G21" s="186"/>
      <c r="H21" s="187">
        <v>10.4</v>
      </c>
      <c r="I21" s="186" t="s">
        <v>282</v>
      </c>
      <c r="J21" s="172"/>
      <c r="K21" s="172"/>
      <c r="L21" s="172"/>
      <c r="M21" s="172"/>
      <c r="N21" s="196"/>
    </row>
    <row r="22" spans="1:14">
      <c r="A22" s="190"/>
      <c r="B22" s="172"/>
      <c r="C22" s="172"/>
      <c r="D22" s="172"/>
      <c r="E22" s="186"/>
      <c r="F22" s="186"/>
      <c r="G22" s="186"/>
      <c r="H22" s="191"/>
      <c r="I22" s="186"/>
      <c r="J22" s="172"/>
      <c r="K22" s="172"/>
      <c r="L22" s="172"/>
      <c r="M22" s="172"/>
      <c r="N22" s="196"/>
    </row>
    <row r="23" spans="1:14">
      <c r="A23" s="190"/>
      <c r="B23" s="172"/>
      <c r="C23" s="172"/>
      <c r="D23" s="172"/>
      <c r="E23" s="192" t="s">
        <v>17</v>
      </c>
      <c r="F23" s="186"/>
      <c r="G23" s="186"/>
      <c r="H23" s="189">
        <f>SUM(H18:H21)</f>
        <v>31.5</v>
      </c>
      <c r="I23" s="186" t="s">
        <v>282</v>
      </c>
      <c r="J23" s="172"/>
      <c r="K23" s="172"/>
      <c r="L23" s="172"/>
      <c r="M23" s="172"/>
      <c r="N23" s="197"/>
    </row>
    <row r="24" spans="1:14">
      <c r="A24" s="190"/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96"/>
    </row>
    <row r="25" spans="1:14">
      <c r="A25" s="190"/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96"/>
    </row>
    <row r="26" spans="1:14" ht="15.75">
      <c r="A26" s="193" t="str">
        <f>"Momento de transporte  =  "&amp;TEXT(H23,"0,00")&amp;"  x  "&amp;TEXT(C16,"0,00")&amp;"            =&gt;"</f>
        <v>Momento de transporte  =  31,50  x  75,00            =&gt;</v>
      </c>
      <c r="B26" s="194"/>
      <c r="C26" s="194"/>
      <c r="D26" s="194"/>
      <c r="E26" s="194"/>
      <c r="F26" s="429">
        <f>ROUND(C16*H23,2)</f>
        <v>2362.5</v>
      </c>
      <c r="G26" s="430"/>
      <c r="H26" s="195" t="s">
        <v>286</v>
      </c>
      <c r="I26" s="194"/>
      <c r="J26" s="194"/>
      <c r="K26" s="194"/>
      <c r="L26" s="194"/>
      <c r="M26" s="194"/>
      <c r="N26" s="198"/>
    </row>
  </sheetData>
  <mergeCells count="8">
    <mergeCell ref="A10:N10"/>
    <mergeCell ref="F26:G26"/>
    <mergeCell ref="A7:N8"/>
    <mergeCell ref="A1:N1"/>
    <mergeCell ref="A2:N2"/>
    <mergeCell ref="A3:N3"/>
    <mergeCell ref="A5:N5"/>
    <mergeCell ref="C9:J9"/>
  </mergeCells>
  <printOptions horizontalCentered="1"/>
  <pageMargins left="0.511811023622047" right="0.511811023622047" top="0.78740157480314998" bottom="0.78740157480314998" header="0.31496062992126" footer="0.31496062992126"/>
  <pageSetup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showOutlineSymbols="0" showWhiteSpace="0" view="pageBreakPreview" topLeftCell="A53" workbookViewId="0">
      <selection activeCell="E65" sqref="E65"/>
    </sheetView>
  </sheetViews>
  <sheetFormatPr defaultColWidth="9" defaultRowHeight="14.25"/>
  <cols>
    <col min="1" max="1" width="17" customWidth="1"/>
    <col min="2" max="2" width="60" customWidth="1"/>
    <col min="3" max="3" width="6.875" customWidth="1"/>
    <col min="4" max="4" width="10" style="130" customWidth="1"/>
    <col min="5" max="5" width="60" customWidth="1"/>
    <col min="6" max="6" width="18" customWidth="1"/>
  </cols>
  <sheetData>
    <row r="1" spans="1:5">
      <c r="A1" s="131"/>
      <c r="B1" s="434" t="s">
        <v>269</v>
      </c>
      <c r="C1" s="434"/>
      <c r="D1" s="434"/>
      <c r="E1" s="435"/>
    </row>
    <row r="2" spans="1:5">
      <c r="A2" s="132"/>
      <c r="B2" s="436" t="s">
        <v>287</v>
      </c>
      <c r="C2" s="436"/>
      <c r="D2" s="436"/>
      <c r="E2" s="437"/>
    </row>
    <row r="3" spans="1:5">
      <c r="A3" s="132"/>
      <c r="B3" s="436" t="s">
        <v>271</v>
      </c>
      <c r="C3" s="436"/>
      <c r="D3" s="436"/>
      <c r="E3" s="437"/>
    </row>
    <row r="4" spans="1:5" ht="15.75">
      <c r="A4" s="133"/>
      <c r="B4" s="134"/>
      <c r="C4" s="134"/>
      <c r="D4" s="134"/>
      <c r="E4" s="135"/>
    </row>
    <row r="5" spans="1:5" ht="15">
      <c r="A5" s="438" t="str">
        <f>'Orçamento Sintético'!A5:I5</f>
        <v>Construção da Praça no Povoado Honorato, no município de Barro Alto/BA</v>
      </c>
      <c r="B5" s="439"/>
      <c r="C5" s="439"/>
      <c r="D5" s="439"/>
      <c r="E5" s="440"/>
    </row>
    <row r="6" spans="1:5" ht="18">
      <c r="A6" s="136"/>
      <c r="B6" s="137"/>
      <c r="C6" s="138"/>
      <c r="D6" s="138"/>
      <c r="E6" s="139"/>
    </row>
    <row r="7" spans="1:5" ht="15.75">
      <c r="A7" s="441" t="s">
        <v>288</v>
      </c>
      <c r="B7" s="442"/>
      <c r="C7" s="442"/>
      <c r="D7" s="442"/>
      <c r="E7" s="443"/>
    </row>
    <row r="8" spans="1:5" ht="30" customHeight="1">
      <c r="A8" s="140" t="s">
        <v>9</v>
      </c>
      <c r="B8" s="141" t="s">
        <v>12</v>
      </c>
      <c r="C8" s="141" t="s">
        <v>13</v>
      </c>
      <c r="D8" s="142" t="s">
        <v>14</v>
      </c>
      <c r="E8" s="143" t="s">
        <v>289</v>
      </c>
    </row>
    <row r="9" spans="1:5" ht="24" customHeight="1">
      <c r="A9" s="144">
        <f>'Orçamento Sintético'!A12</f>
        <v>1</v>
      </c>
      <c r="B9" s="145" t="str">
        <f>'Orçamento Sintético'!D12</f>
        <v>Serviços Preliminares</v>
      </c>
      <c r="C9" s="146"/>
      <c r="D9" s="147"/>
      <c r="E9" s="148"/>
    </row>
    <row r="10" spans="1:5">
      <c r="A10" s="149" t="str">
        <f>'Orçamento Sintético'!A13</f>
        <v>1.1</v>
      </c>
      <c r="B10" s="150" t="str">
        <f>'Orçamento Sintético'!D13</f>
        <v>Placa de Obra - Padrão Governo Federal</v>
      </c>
      <c r="C10" s="151" t="str">
        <f>'Orçamento Sintético'!E13</f>
        <v>m²</v>
      </c>
      <c r="D10" s="152">
        <v>6.48</v>
      </c>
      <c r="E10" s="153" t="s">
        <v>290</v>
      </c>
    </row>
    <row r="11" spans="1:5">
      <c r="A11" s="149" t="str">
        <f>'Orçamento Sintético'!A14</f>
        <v>1.2</v>
      </c>
      <c r="B11" s="150" t="str">
        <f>'Orçamento Sintético'!D14</f>
        <v>Administração Local</v>
      </c>
      <c r="C11" s="151" t="str">
        <f>'Orçamento Sintético'!E14</f>
        <v>Global</v>
      </c>
      <c r="D11" s="152">
        <v>1</v>
      </c>
      <c r="E11" s="153" t="s">
        <v>291</v>
      </c>
    </row>
    <row r="12" spans="1:5">
      <c r="A12" s="149" t="str">
        <f>'Orçamento Sintético'!A15</f>
        <v>1.3</v>
      </c>
      <c r="B12" s="150" t="str">
        <f>'Orçamento Sintético'!D15</f>
        <v>Mobilização</v>
      </c>
      <c r="C12" s="151" t="str">
        <f>'Orçamento Sintético'!E15</f>
        <v>UN</v>
      </c>
      <c r="D12" s="152">
        <v>1</v>
      </c>
      <c r="E12" s="153" t="s">
        <v>291</v>
      </c>
    </row>
    <row r="13" spans="1:5">
      <c r="A13" s="149" t="str">
        <f>'Orçamento Sintético'!A16</f>
        <v>1.4</v>
      </c>
      <c r="B13" s="150" t="str">
        <f>'Orçamento Sintético'!D16</f>
        <v>Desmoblização</v>
      </c>
      <c r="C13" s="151" t="str">
        <f>'Orçamento Sintético'!E16</f>
        <v>UN</v>
      </c>
      <c r="D13" s="152">
        <v>1</v>
      </c>
      <c r="E13" s="153" t="s">
        <v>291</v>
      </c>
    </row>
    <row r="14" spans="1:5">
      <c r="A14" s="149" t="str">
        <f>'Orçamento Sintético'!A17</f>
        <v>1.5</v>
      </c>
      <c r="B14" s="150" t="str">
        <f>'Orçamento Sintético'!D17</f>
        <v>Locação de container - Escritório com banheiro - 6,20 x 2,40m</v>
      </c>
      <c r="C14" s="151" t="str">
        <f>'Orçamento Sintético'!E17</f>
        <v>mês</v>
      </c>
      <c r="D14" s="152">
        <v>4</v>
      </c>
      <c r="E14" s="153" t="s">
        <v>292</v>
      </c>
    </row>
    <row r="15" spans="1:5">
      <c r="A15" s="149" t="str">
        <f>'Orçamento Sintético'!A18</f>
        <v>1.6</v>
      </c>
      <c r="B15" s="150" t="str">
        <f>'Orçamento Sintético'!D18</f>
        <v>Serviços topográficos</v>
      </c>
      <c r="C15" s="151" t="str">
        <f>'Orçamento Sintético'!E18</f>
        <v>m²</v>
      </c>
      <c r="D15" s="152">
        <f>D17</f>
        <v>2001.66</v>
      </c>
      <c r="E15" s="153" t="s">
        <v>293</v>
      </c>
    </row>
    <row r="16" spans="1:5" ht="24" customHeight="1">
      <c r="A16" s="144">
        <f>'Orçamento Sintético'!A19</f>
        <v>2</v>
      </c>
      <c r="B16" s="145" t="str">
        <f>'Orçamento Sintético'!D19</f>
        <v>Limpeza e Terraplanagem</v>
      </c>
      <c r="C16" s="146"/>
      <c r="D16" s="147"/>
      <c r="E16" s="148"/>
    </row>
    <row r="17" spans="1:9" ht="26.1" customHeight="1">
      <c r="A17" s="149" t="str">
        <f>'Orçamento Sintético'!A20</f>
        <v>2.1</v>
      </c>
      <c r="B17" s="150" t="str">
        <f>'Orçamento Sintético'!D20</f>
        <v>Limpeza mecanizada de camada vegetal, vegetação e pequenas árvores (diâmetro de tronco menor que 0,20 m), com trator de esteiras.</v>
      </c>
      <c r="C17" s="151" t="str">
        <f>'Orçamento Sintético'!E20</f>
        <v>m²</v>
      </c>
      <c r="D17" s="152">
        <v>2001.66</v>
      </c>
      <c r="E17" s="153" t="s">
        <v>293</v>
      </c>
    </row>
    <row r="18" spans="1:9" ht="24" customHeight="1">
      <c r="A18" s="144">
        <f>'Orçamento Sintético'!A21</f>
        <v>3</v>
      </c>
      <c r="B18" s="145" t="str">
        <f>'Orçamento Sintético'!D21</f>
        <v>Pavimentação</v>
      </c>
      <c r="C18" s="146"/>
      <c r="D18" s="147"/>
      <c r="E18" s="148"/>
    </row>
    <row r="19" spans="1:9" ht="24" customHeight="1">
      <c r="A19" s="144" t="str">
        <f>'Orçamento Sintético'!A22</f>
        <v>3.1</v>
      </c>
      <c r="B19" s="145" t="str">
        <f>'Orçamento Sintético'!D22</f>
        <v>Intertravado</v>
      </c>
      <c r="C19" s="146"/>
      <c r="D19" s="147"/>
      <c r="E19" s="148"/>
    </row>
    <row r="20" spans="1:9" ht="39" customHeight="1">
      <c r="A20" s="149" t="str">
        <f>'Orçamento Sintético'!A23</f>
        <v>3.1.1</v>
      </c>
      <c r="B20" s="150" t="str">
        <f>'Orçamento Sintético'!D23</f>
        <v>EXECUÇÃO DE PÁTIO/ESTACIONAMENTO EM PISO INTERTRAVADO, COM BLOCO RETANGULAR COR NATURAL DE 20 X 10 CM, ESPESSURA 6 CM.</v>
      </c>
      <c r="C20" s="151" t="str">
        <f>'Orçamento Sintético'!E23</f>
        <v>m²</v>
      </c>
      <c r="D20" s="152">
        <f>234.54+147.34+181.89+163.26</f>
        <v>727.03</v>
      </c>
      <c r="E20" s="153" t="s">
        <v>294</v>
      </c>
    </row>
    <row r="21" spans="1:9" ht="39" customHeight="1">
      <c r="A21" s="149" t="str">
        <f>'Orçamento Sintético'!A24</f>
        <v>3.1.2</v>
      </c>
      <c r="B21" s="150" t="str">
        <f>'Orçamento Sintético'!D24</f>
        <v>PINTURA DE PISO COM TINTA ACRÍLICA, APLICAÇÃO MANUAL, 2 DEMÃOS, INCLUSO FUNDO PREPARADOR.</v>
      </c>
      <c r="C21" s="151" t="str">
        <f>'Orçamento Sintético'!E24</f>
        <v>m²</v>
      </c>
      <c r="D21" s="152">
        <f>147.34+181.89+163.26</f>
        <v>492.49</v>
      </c>
      <c r="E21" s="153" t="s">
        <v>295</v>
      </c>
    </row>
    <row r="22" spans="1:9" ht="26.1" customHeight="1">
      <c r="A22" s="144" t="str">
        <f>'Orçamento Sintético'!A25</f>
        <v>3.2</v>
      </c>
      <c r="B22" s="145" t="str">
        <f>'Orçamento Sintético'!D25</f>
        <v>Passeio</v>
      </c>
      <c r="C22" s="146"/>
      <c r="D22" s="147"/>
      <c r="E22" s="148"/>
    </row>
    <row r="23" spans="1:9" ht="26.1" customHeight="1">
      <c r="A23" s="149" t="str">
        <f>'Orçamento Sintético'!A26</f>
        <v>3.2.1</v>
      </c>
      <c r="B23" s="150" t="str">
        <f>'Orçamento Sintético'!D26</f>
        <v>EXECUÇÃO DE PASSEIO (CALÇADA) OU PISO DE CONCRETO COM CONCRETO MOLDADO IN LOCO, FEITO EM OBRA, ACABAMENTO CONVENCIONAL, ESPESSURA 6 CM, ARMADO.</v>
      </c>
      <c r="C23" s="151" t="str">
        <f>'Orçamento Sintético'!E26</f>
        <v>m²</v>
      </c>
      <c r="D23" s="152">
        <f>SUM(I23:I25)</f>
        <v>381.98</v>
      </c>
      <c r="E23" s="153" t="s">
        <v>296</v>
      </c>
      <c r="G23" s="447" t="s">
        <v>297</v>
      </c>
      <c r="H23" s="450"/>
      <c r="I23" s="154">
        <v>95.15</v>
      </c>
    </row>
    <row r="24" spans="1:9" ht="37.5" customHeight="1">
      <c r="A24" s="149" t="str">
        <f>'Orçamento Sintético'!A27</f>
        <v>3.2.2</v>
      </c>
      <c r="B24" s="150" t="str">
        <f>'Orçamento Sintético'!D27</f>
        <v>Piso tátil direcional e/ou de alerta, de concreto, colorido, para deficientes visuais, dimensões 25 x 25 cm, aplicado com argamassa industrializada ac-II, rejuntado, exclusive regularização de base</v>
      </c>
      <c r="C24" s="151" t="str">
        <f>'Orçamento Sintético'!E27</f>
        <v>m²</v>
      </c>
      <c r="D24" s="152">
        <f>65.54/0.25</f>
        <v>262.16000000000003</v>
      </c>
      <c r="E24" s="153" t="s">
        <v>298</v>
      </c>
      <c r="G24" s="448"/>
      <c r="H24" s="451"/>
      <c r="I24" s="154">
        <v>140</v>
      </c>
    </row>
    <row r="25" spans="1:9" ht="24" customHeight="1">
      <c r="A25" s="149" t="str">
        <f>'Orçamento Sintético'!A28</f>
        <v>3.2.3</v>
      </c>
      <c r="B25" s="150" t="str">
        <f>'Orçamento Sintético'!D28</f>
        <v>Execução de rampa de acesso à calçada</v>
      </c>
      <c r="C25" s="151" t="str">
        <f>'Orçamento Sintético'!E28</f>
        <v>m³</v>
      </c>
      <c r="D25" s="152">
        <f>5*(1.2*(0.1/2))</f>
        <v>0.3</v>
      </c>
      <c r="E25" s="153" t="s">
        <v>299</v>
      </c>
      <c r="G25" s="449"/>
      <c r="H25" s="452"/>
      <c r="I25" s="154">
        <v>146.83000000000001</v>
      </c>
    </row>
    <row r="26" spans="1:9" ht="26.1" customHeight="1">
      <c r="A26" s="149" t="str">
        <f>'Orçamento Sintético'!A29</f>
        <v>3.2.4</v>
      </c>
      <c r="B26" s="150" t="str">
        <f>'Orçamento Sintético'!D29</f>
        <v>ESCAVAÇÃO MANUAL DE VALA COM PROFUNDIDADE MENOR OU IGUAL A 1,30 M.</v>
      </c>
      <c r="C26" s="151" t="str">
        <f>'Orçamento Sintético'!E29</f>
        <v>m³</v>
      </c>
      <c r="D26" s="152">
        <f>(D28+D29)*0.15*0.15</f>
        <v>15.023025000000001</v>
      </c>
      <c r="E26" s="153" t="s">
        <v>300</v>
      </c>
    </row>
    <row r="27" spans="1:9" ht="26.1" customHeight="1">
      <c r="A27" s="149" t="str">
        <f>'Orçamento Sintético'!A30</f>
        <v>3.2.5</v>
      </c>
      <c r="B27" s="150" t="str">
        <f>'Orçamento Sintético'!D30</f>
        <v>LASTRO DE CONCRETO MAGRO, APLICADO EM PISOS, LAJES SOBRE SOLO OU RADIERS, ESPESSURA DE 3 CM</v>
      </c>
      <c r="C27" s="151" t="str">
        <f>'Orçamento Sintético'!E30</f>
        <v>m²</v>
      </c>
      <c r="D27" s="152">
        <f>(D28+D29)*0.15</f>
        <v>100.15349999999999</v>
      </c>
      <c r="E27" s="153" t="s">
        <v>301</v>
      </c>
    </row>
    <row r="28" spans="1:9" ht="26.1" customHeight="1">
      <c r="A28" s="149" t="str">
        <f>'Orçamento Sintético'!A31</f>
        <v>3.2.6</v>
      </c>
      <c r="B28" s="150" t="str">
        <f>'Orçamento Sintético'!D31</f>
        <v>ASSENTAMENTO DE GUIA (MEIO-FIO) EM TRECHO RETO, CONFECCIONADA EM CONCRETO PRÉ-FABRICADO, DIMENSÕES 39X6,5X6,5X19 CM (COMPRIMENTO X BASE INFERIOR X BASE SUPERIOR X ALTURA), PARA DELIMITAÇÃO DE JARDINS, PRAÇAS OU PASSEIOS.</v>
      </c>
      <c r="C28" s="151" t="str">
        <f>'Orçamento Sintético'!E31</f>
        <v>M</v>
      </c>
      <c r="D28" s="152">
        <f>I28</f>
        <v>236.42</v>
      </c>
      <c r="E28" s="153" t="s">
        <v>298</v>
      </c>
      <c r="G28" s="447" t="s">
        <v>302</v>
      </c>
      <c r="H28" s="154" t="s">
        <v>303</v>
      </c>
      <c r="I28" s="154">
        <v>236.42</v>
      </c>
    </row>
    <row r="29" spans="1:9" ht="26.1" customHeight="1">
      <c r="A29" s="149" t="str">
        <f>'Orçamento Sintético'!A32</f>
        <v>3.2.7</v>
      </c>
      <c r="B29" s="150" t="str">
        <f>'Orçamento Sintético'!D32</f>
        <v>ASSENTAMENTO DE GUIA (MEIO-FIO) EM TRECHO CURVO, CONFECCIONADA EM CONCRETO PRÉ-FABRICADO, DIMENSÕES 39X6,5X6,5X19 CM (COMPRIMENTO X BASE INFERIOR X BASE SUPERIOR X ALTURA), PARA DELIMITAÇÃO DE JARDINS, PRAÇAS OU PASSEIOS.</v>
      </c>
      <c r="C29" s="151" t="str">
        <f>'Orçamento Sintético'!E32</f>
        <v>M</v>
      </c>
      <c r="D29" s="152">
        <f>SUM(I29:I37)</f>
        <v>431.27</v>
      </c>
      <c r="E29" s="153" t="s">
        <v>298</v>
      </c>
      <c r="G29" s="448"/>
      <c r="H29" s="154" t="s">
        <v>304</v>
      </c>
      <c r="I29" s="154">
        <v>64.22</v>
      </c>
    </row>
    <row r="30" spans="1:9" ht="26.1" customHeight="1">
      <c r="A30" s="144">
        <f>'Orçamento Sintético'!A33</f>
        <v>4</v>
      </c>
      <c r="B30" s="145" t="str">
        <f>'Orçamento Sintético'!D33</f>
        <v>Paisagismo e acessórios</v>
      </c>
      <c r="C30" s="146"/>
      <c r="D30" s="147"/>
      <c r="E30" s="148"/>
      <c r="G30" s="448"/>
      <c r="H30" s="154" t="s">
        <v>304</v>
      </c>
      <c r="I30" s="154">
        <v>39.1</v>
      </c>
    </row>
    <row r="31" spans="1:9" ht="26.1" customHeight="1">
      <c r="A31" s="144"/>
      <c r="B31" s="145"/>
      <c r="C31" s="146"/>
      <c r="D31" s="147"/>
      <c r="E31" s="148"/>
      <c r="G31" s="448"/>
      <c r="H31" s="154" t="s">
        <v>304</v>
      </c>
      <c r="I31" s="154">
        <v>29.85</v>
      </c>
    </row>
    <row r="32" spans="1:9" ht="26.1" customHeight="1">
      <c r="A32" s="149" t="str">
        <f>'Orçamento Sintético'!A35</f>
        <v>4.1.1</v>
      </c>
      <c r="B32" s="150" t="str">
        <f>'Orçamento Sintético'!D35</f>
        <v>PLANTIO DE GRAMA ESMERALDA OU SÃO CARLOS OU CURITIBANA, EM PLACAS.</v>
      </c>
      <c r="C32" s="151" t="str">
        <f>'Orçamento Sintético'!E35</f>
        <v>m²</v>
      </c>
      <c r="D32" s="152">
        <f>I39+I40</f>
        <v>242.21</v>
      </c>
      <c r="E32" s="153" t="s">
        <v>296</v>
      </c>
      <c r="G32" s="448"/>
      <c r="H32" s="154" t="s">
        <v>304</v>
      </c>
      <c r="I32" s="154">
        <v>87.84</v>
      </c>
    </row>
    <row r="33" spans="1:9" ht="26.1" customHeight="1">
      <c r="A33" s="149" t="str">
        <f>'Orçamento Sintético'!A36</f>
        <v>4.1.2</v>
      </c>
      <c r="B33" s="150" t="str">
        <f>'Orçamento Sintético'!D36</f>
        <v>INSTALAÇÃO DE PERGOLADO DE MADEIRA, EM MAÇARANDUBA, ANGELIM OU EQUIVALENTE DA REGIÃO, FIXADO COM CONCRETO SOBRE SOLO.</v>
      </c>
      <c r="C33" s="151" t="str">
        <f>'Orçamento Sintético'!E36</f>
        <v>m²</v>
      </c>
      <c r="D33" s="152">
        <f>12.5*2</f>
        <v>25</v>
      </c>
      <c r="E33" s="153" t="s">
        <v>296</v>
      </c>
      <c r="G33" s="448"/>
      <c r="H33" s="154" t="s">
        <v>304</v>
      </c>
      <c r="I33" s="154">
        <v>45.56</v>
      </c>
    </row>
    <row r="34" spans="1:9" ht="26.1" customHeight="1">
      <c r="A34" s="149" t="str">
        <f>'Orçamento Sintético'!A37</f>
        <v>4.1.3</v>
      </c>
      <c r="B34" s="150" t="str">
        <f>'Orçamento Sintético'!D37</f>
        <v>Conjunto com 3 lixeiras em fibra de vidro, com capacidade de 20 l cada, com tampa vai e vem</v>
      </c>
      <c r="C34" s="151" t="str">
        <f>'Orçamento Sintético'!E37</f>
        <v>UN</v>
      </c>
      <c r="D34" s="152">
        <v>5</v>
      </c>
      <c r="E34" s="153" t="s">
        <v>298</v>
      </c>
      <c r="G34" s="448"/>
      <c r="H34" s="154" t="s">
        <v>304</v>
      </c>
      <c r="I34" s="154">
        <v>82.15</v>
      </c>
    </row>
    <row r="35" spans="1:9" ht="26.1" customHeight="1">
      <c r="A35" s="149" t="str">
        <f>'Orçamento Sintético'!A38</f>
        <v>4.1.4</v>
      </c>
      <c r="B35" s="150" t="str">
        <f>'Orçamento Sintético'!D38</f>
        <v>Banco com pés em concreto pré-moldado e assento e encosto de madeira</v>
      </c>
      <c r="C35" s="151" t="str">
        <f>'Orçamento Sintético'!E38</f>
        <v>UN</v>
      </c>
      <c r="D35" s="152">
        <v>7</v>
      </c>
      <c r="E35" s="153" t="s">
        <v>298</v>
      </c>
      <c r="G35" s="448"/>
      <c r="H35" s="154" t="s">
        <v>304</v>
      </c>
      <c r="I35" s="154">
        <v>44.85</v>
      </c>
    </row>
    <row r="36" spans="1:9" ht="26.1" customHeight="1">
      <c r="A36" s="149" t="str">
        <f>'Orçamento Sintético'!A39</f>
        <v>4.1.5</v>
      </c>
      <c r="B36" s="150" t="str">
        <f>'Orçamento Sintético'!D39</f>
        <v xml:space="preserve">Parque infantil - fornecimento e instalação </v>
      </c>
      <c r="C36" s="151" t="str">
        <f>'Orçamento Sintético'!E39</f>
        <v>CJ</v>
      </c>
      <c r="D36" s="152">
        <v>1</v>
      </c>
      <c r="E36" s="153" t="s">
        <v>298</v>
      </c>
      <c r="G36" s="448"/>
      <c r="H36" s="154" t="s">
        <v>305</v>
      </c>
      <c r="I36" s="154">
        <v>18.850000000000001</v>
      </c>
    </row>
    <row r="37" spans="1:9" ht="26.1" customHeight="1">
      <c r="A37" s="149" t="str">
        <f>'Orçamento Sintético'!A40</f>
        <v>4.1.6</v>
      </c>
      <c r="B37" s="150" t="str">
        <f>'Orçamento Sintético'!D40</f>
        <v>Colchão de areia</v>
      </c>
      <c r="C37" s="151" t="str">
        <f>'Orçamento Sintético'!E40</f>
        <v>m³</v>
      </c>
      <c r="D37" s="152">
        <f>25.88*0.2</f>
        <v>5.1760000000000002</v>
      </c>
      <c r="E37" s="153" t="s">
        <v>306</v>
      </c>
      <c r="G37" s="449"/>
      <c r="H37" s="154" t="s">
        <v>307</v>
      </c>
      <c r="I37" s="154">
        <v>18.850000000000001</v>
      </c>
    </row>
    <row r="38" spans="1:9" ht="26.1" customHeight="1">
      <c r="A38" s="144" t="str">
        <f>'Orçamento Sintético'!A41</f>
        <v>4.2</v>
      </c>
      <c r="B38" s="145" t="str">
        <f>'Orçamento Sintético'!D41</f>
        <v>Banco-jardineira das árvores</v>
      </c>
      <c r="C38" s="146"/>
      <c r="D38" s="147"/>
      <c r="E38" s="148"/>
      <c r="G38" s="155"/>
    </row>
    <row r="39" spans="1:9" ht="26.1" customHeight="1">
      <c r="A39" s="149" t="str">
        <f>'Orçamento Sintético'!A42</f>
        <v>4.2.1</v>
      </c>
      <c r="B39" s="150" t="str">
        <f>'Orçamento Sintético'!D42</f>
        <v>ALVENARIA DE VEDAÇÃO DE BLOCOS CERÂMICOS FURADOS NA VERTICAL DE 9X19X39 CM (ESPESSURA 9 CM) E ARGAMASSA DE ASSENTAMENTO COM PREPARO MANUAL.</v>
      </c>
      <c r="C39" s="151" t="str">
        <f>'Orçamento Sintético'!E42</f>
        <v>m²</v>
      </c>
      <c r="D39" s="152">
        <f>8.48*0.45*4</f>
        <v>15.263999999999999</v>
      </c>
      <c r="E39" s="153" t="s">
        <v>308</v>
      </c>
      <c r="G39" s="155"/>
      <c r="H39" t="s">
        <v>304</v>
      </c>
      <c r="I39">
        <v>176.01</v>
      </c>
    </row>
    <row r="40" spans="1:9" ht="26.1" customHeight="1">
      <c r="A40" s="149" t="str">
        <f>'Orçamento Sintético'!A43</f>
        <v>4.2.2</v>
      </c>
      <c r="B40" s="150" t="str">
        <f>'Orçamento Sintético'!D43</f>
        <v>Chapisco aplicado em alvenaria (sem presença de vãos) e estruturas de concreto de fachada, com colher de pedreiro. argamassa traço 1:3 com preparo manual.</v>
      </c>
      <c r="C40" s="151" t="str">
        <f>'Orçamento Sintético'!E43</f>
        <v>m²</v>
      </c>
      <c r="D40" s="152">
        <f t="shared" ref="D40:D42" si="0">8.48*0.45*4</f>
        <v>15.263999999999999</v>
      </c>
      <c r="E40" s="153" t="s">
        <v>308</v>
      </c>
      <c r="G40" s="155"/>
      <c r="H40" s="156" t="s">
        <v>304</v>
      </c>
      <c r="I40">
        <v>66.2</v>
      </c>
    </row>
    <row r="41" spans="1:9" ht="26.1" customHeight="1">
      <c r="A41" s="149" t="str">
        <f>'Orçamento Sintético'!A44</f>
        <v>4.2.3</v>
      </c>
      <c r="B41" s="150" t="str">
        <f>'Orçamento Sintético'!D44</f>
        <v>Massa única, para recebimento de pintura, em argamassa traço 1:2:8, preparo manual,</v>
      </c>
      <c r="C41" s="151" t="str">
        <f>'Orçamento Sintético'!E44</f>
        <v>m²</v>
      </c>
      <c r="D41" s="152">
        <f t="shared" si="0"/>
        <v>15.263999999999999</v>
      </c>
      <c r="E41" s="153" t="s">
        <v>308</v>
      </c>
      <c r="G41" s="155"/>
    </row>
    <row r="42" spans="1:9" ht="26.1" customHeight="1">
      <c r="A42" s="149" t="str">
        <f>'Orçamento Sintético'!A45</f>
        <v>4.2.4</v>
      </c>
      <c r="B42" s="150" t="str">
        <f>'Orçamento Sintético'!D45</f>
        <v>Aplicação manual de pintura com tinta látex acrílica em paredes, duas demãos.</v>
      </c>
      <c r="C42" s="151" t="str">
        <f>'Orçamento Sintético'!E45</f>
        <v>m²</v>
      </c>
      <c r="D42" s="152">
        <f t="shared" si="0"/>
        <v>15.263999999999999</v>
      </c>
      <c r="E42" s="153" t="s">
        <v>308</v>
      </c>
      <c r="G42" s="155"/>
    </row>
    <row r="43" spans="1:9" ht="26.1" customHeight="1">
      <c r="A43" s="144">
        <f>'Orçamento Sintético'!A46</f>
        <v>5</v>
      </c>
      <c r="B43" s="145" t="str">
        <f>'Orçamento Sintético'!D46</f>
        <v>Iluminação Pública</v>
      </c>
      <c r="C43" s="146"/>
      <c r="D43" s="147"/>
      <c r="E43" s="148"/>
      <c r="G43" s="155"/>
    </row>
    <row r="44" spans="1:9" ht="26.1" customHeight="1">
      <c r="A44" s="149" t="str">
        <f>'Orçamento Sintético'!A47</f>
        <v>5.1</v>
      </c>
      <c r="B44" s="150" t="str">
        <f>'Orçamento Sintético'!D47</f>
        <v xml:space="preserve">Luminarias decorativas, poste com 9,0 m, com duas luminárias de led 100 W, fornecimento e instalação </v>
      </c>
      <c r="C44" s="151" t="str">
        <f>'Orçamento Sintético'!E47</f>
        <v>UN</v>
      </c>
      <c r="D44" s="152">
        <v>7</v>
      </c>
      <c r="E44" s="153" t="s">
        <v>298</v>
      </c>
      <c r="G44" s="157"/>
    </row>
    <row r="45" spans="1:9" ht="26.1" customHeight="1">
      <c r="A45" s="149" t="str">
        <f>'Orçamento Sintético'!A48</f>
        <v>5.2</v>
      </c>
      <c r="B45" s="150" t="str">
        <f>'Orçamento Sintético'!D48</f>
        <v>CABO DE COBRE FLEXÍVEL ISOLADO, 4 MM², ANTI-CHAMA 0,6/1,0 KV, PARA CIRCUITOS TERMINAIS - FORNECIMENTO E INSTALAÇÃO.</v>
      </c>
      <c r="C45" s="151" t="str">
        <f>'Orçamento Sintético'!E48</f>
        <v>M</v>
      </c>
      <c r="D45" s="152">
        <f>D48*3</f>
        <v>750</v>
      </c>
      <c r="E45" s="153" t="s">
        <v>309</v>
      </c>
    </row>
    <row r="46" spans="1:9" ht="26.1" customHeight="1">
      <c r="A46" s="149" t="str">
        <f>'Orçamento Sintético'!A49</f>
        <v>5.3</v>
      </c>
      <c r="B46" s="150" t="str">
        <f>'Orçamento Sintético'!D49</f>
        <v>ELETRODUTO FLEXÍVEL CORRUGADO, PEAD, DN 50 (1 1/2"), PARA REDE ENTERRADA DE DISTRIBUIÇÃO DE ENERGIA ELÉTRICA - FORNECIMENTO E INSTALAÇÃO.</v>
      </c>
      <c r="C46" s="151" t="str">
        <f>'Orçamento Sintético'!E49</f>
        <v>M</v>
      </c>
      <c r="D46" s="152">
        <v>15</v>
      </c>
      <c r="E46" s="153" t="s">
        <v>298</v>
      </c>
    </row>
    <row r="47" spans="1:9" ht="39" customHeight="1">
      <c r="A47" s="149" t="str">
        <f>'Orçamento Sintético'!A50</f>
        <v>5.4</v>
      </c>
      <c r="B47" s="150" t="str">
        <f>'Orçamento Sintético'!D50</f>
        <v>CABO DE COBRE FLEXÍVEL ISOLADO, 10 MM², 0,6/1,0 KV, PARA REDE AÉREA DE DISTRIBUIÇÃO DE ENERGIA ELÉTRICA DE BAIXA TENSÃO - FORNECIMENTO E INSTALAÇÃO.</v>
      </c>
      <c r="C47" s="151" t="str">
        <f>'Orçamento Sintético'!E50</f>
        <v>M</v>
      </c>
      <c r="D47" s="152">
        <f>D46*3</f>
        <v>45</v>
      </c>
      <c r="E47" s="153" t="s">
        <v>310</v>
      </c>
    </row>
    <row r="48" spans="1:9" ht="39" customHeight="1">
      <c r="A48" s="149" t="str">
        <f>'Orçamento Sintético'!A51</f>
        <v>5.5</v>
      </c>
      <c r="B48" s="150" t="str">
        <f>'Orçamento Sintético'!D51</f>
        <v>ELETRODUTO FLEXÍVEL CORRUGADO REFORÇADO, PVC, DN 25 MM (3/4"), PARA CIRCUITOS TERMINAIS, INSTALADO EM LAJE - FORNECIMENTO E INSTALAÇÃO.</v>
      </c>
      <c r="C48" s="151" t="str">
        <f>'Orçamento Sintético'!E51</f>
        <v>M</v>
      </c>
      <c r="D48" s="152">
        <v>250</v>
      </c>
      <c r="E48" s="153" t="s">
        <v>298</v>
      </c>
    </row>
    <row r="49" spans="1:8" ht="26.1" customHeight="1">
      <c r="A49" s="149" t="str">
        <f>'Orçamento Sintético'!A52</f>
        <v>5.6</v>
      </c>
      <c r="B49" s="150" t="str">
        <f>'Orçamento Sintético'!D52</f>
        <v>ESCAVAÇÃO MANUAL DE VALA COM PROFUNDIDADE MENOR OU IGUAL A 1,30 M.</v>
      </c>
      <c r="C49" s="151" t="str">
        <f>'Orçamento Sintético'!E52</f>
        <v>m³</v>
      </c>
      <c r="D49" s="152">
        <f>(D48+D46)*0.4*0.4</f>
        <v>42.4</v>
      </c>
      <c r="E49" s="153" t="s">
        <v>311</v>
      </c>
    </row>
    <row r="50" spans="1:8" ht="39" customHeight="1">
      <c r="A50" s="149" t="str">
        <f>'Orçamento Sintético'!A53</f>
        <v>5.7</v>
      </c>
      <c r="B50" s="150" t="str">
        <f>'Orçamento Sintético'!D53</f>
        <v>REATERRO MANUAL APILOADO COM SOQUETE.</v>
      </c>
      <c r="C50" s="151" t="str">
        <f>'Orçamento Sintético'!E53</f>
        <v>m³</v>
      </c>
      <c r="D50" s="152">
        <f>D49-D51</f>
        <v>29.15</v>
      </c>
      <c r="E50" s="153" t="s">
        <v>312</v>
      </c>
    </row>
    <row r="51" spans="1:8" ht="39" customHeight="1">
      <c r="A51" s="149" t="str">
        <f>'Orçamento Sintético'!A54</f>
        <v>5.8</v>
      </c>
      <c r="B51" s="150" t="str">
        <f>'Orçamento Sintético'!D54</f>
        <v>Colchão de areia</v>
      </c>
      <c r="C51" s="151" t="str">
        <f>'Orçamento Sintético'!E54</f>
        <v>m³</v>
      </c>
      <c r="D51" s="152">
        <f>(D48+D46)*0.05</f>
        <v>13.25</v>
      </c>
      <c r="E51" s="153" t="s">
        <v>313</v>
      </c>
      <c r="H51" s="158"/>
    </row>
    <row r="52" spans="1:8" ht="39" customHeight="1">
      <c r="A52" s="149" t="str">
        <f>'Orçamento Sintético'!A55</f>
        <v>5.9</v>
      </c>
      <c r="B52" s="150" t="str">
        <f>'Orçamento Sintético'!D55</f>
        <v>HASTE DE ATERRAMENTO 5/8 PARA SPDA - FORNECIMENTO E INSTALAÇÃO.</v>
      </c>
      <c r="C52" s="151" t="str">
        <f>'Orçamento Sintético'!E55</f>
        <v>UN</v>
      </c>
      <c r="D52" s="152">
        <f>D53</f>
        <v>7</v>
      </c>
      <c r="E52" s="153" t="s">
        <v>314</v>
      </c>
      <c r="H52" s="159"/>
    </row>
    <row r="53" spans="1:8" ht="39" customHeight="1">
      <c r="A53" s="149" t="str">
        <f>'Orçamento Sintético'!A56</f>
        <v>5.10</v>
      </c>
      <c r="B53" s="150" t="str">
        <f>'Orçamento Sintético'!D56</f>
        <v>Caixa de passagem em alvenaria de tijolos maciços esp. = 0,12m, dim. int. = 0.40 x 0.40 x 0.40m</v>
      </c>
      <c r="C53" s="151" t="str">
        <f>'Orçamento Sintético'!E56</f>
        <v>UN</v>
      </c>
      <c r="D53" s="152">
        <f>D44</f>
        <v>7</v>
      </c>
      <c r="E53" s="153" t="s">
        <v>314</v>
      </c>
      <c r="H53" s="159"/>
    </row>
    <row r="54" spans="1:8" ht="39" customHeight="1">
      <c r="A54" s="149" t="str">
        <f>'Orçamento Sintético'!A57</f>
        <v>5.11</v>
      </c>
      <c r="B54" s="150" t="str">
        <f>'Orçamento Sintético'!D57</f>
        <v>Tampa de concreto para caixas de passagem 0,40x0,40mx0,07m</v>
      </c>
      <c r="C54" s="151" t="str">
        <f>'Orçamento Sintético'!E57</f>
        <v>UN</v>
      </c>
      <c r="D54" s="152">
        <f>D53</f>
        <v>7</v>
      </c>
      <c r="E54" s="153" t="s">
        <v>314</v>
      </c>
      <c r="H54" s="159"/>
    </row>
    <row r="55" spans="1:8" ht="39" customHeight="1">
      <c r="A55" s="149" t="str">
        <f>'Orçamento Sintético'!A58</f>
        <v>5.12</v>
      </c>
      <c r="B55" s="150" t="str">
        <f>'Orçamento Sintético'!D58</f>
        <v>Entrada de energia elétrica trifásica, com poste de concreto duplo T, quadro, caixa de inspeção e disjuntor.</v>
      </c>
      <c r="C55" s="151" t="str">
        <f>'Orçamento Sintético'!E58</f>
        <v>UN</v>
      </c>
      <c r="D55" s="152">
        <v>1</v>
      </c>
      <c r="E55" s="153" t="s">
        <v>298</v>
      </c>
      <c r="H55" s="160"/>
    </row>
    <row r="56" spans="1:8" ht="39" customHeight="1">
      <c r="A56" s="144">
        <f>'Orçamento Sintético'!A59</f>
        <v>6</v>
      </c>
      <c r="B56" s="145" t="str">
        <f>'Orçamento Sintético'!D59</f>
        <v>Limpeza</v>
      </c>
      <c r="C56" s="146"/>
      <c r="D56" s="147"/>
      <c r="E56" s="148"/>
    </row>
    <row r="57" spans="1:8" ht="39" customHeight="1">
      <c r="A57" s="149" t="str">
        <f>'Orçamento Sintético'!A60</f>
        <v>6.1</v>
      </c>
      <c r="B57" s="150" t="str">
        <f>'Orçamento Sintético'!D60</f>
        <v>Limpeza de ruas (varrição e remoção de entulhos)</v>
      </c>
      <c r="C57" s="151" t="str">
        <f>'Orçamento Sintético'!E60</f>
        <v>m²</v>
      </c>
      <c r="D57" s="152">
        <f>D15</f>
        <v>2001.66</v>
      </c>
      <c r="E57" s="153" t="s">
        <v>293</v>
      </c>
    </row>
    <row r="58" spans="1:8" ht="39" customHeight="1">
      <c r="A58" s="345"/>
      <c r="B58" s="346"/>
      <c r="C58" s="346"/>
      <c r="D58" s="444"/>
      <c r="E58" s="445"/>
      <c r="G58" s="158"/>
    </row>
    <row r="59" spans="1:8" ht="39" customHeight="1">
      <c r="A59" s="345"/>
      <c r="B59" s="346"/>
      <c r="C59" s="346"/>
      <c r="D59" s="347"/>
      <c r="E59" s="446"/>
      <c r="G59" s="159"/>
    </row>
    <row r="60" spans="1:8" ht="24" customHeight="1">
      <c r="A60" s="162"/>
      <c r="B60" s="163"/>
      <c r="C60" s="163"/>
      <c r="D60" s="164"/>
      <c r="E60" s="165"/>
      <c r="G60" s="159"/>
    </row>
    <row r="61" spans="1:8" ht="79.5" customHeight="1">
      <c r="A61" s="354" t="str">
        <f>'Orçamento Sintético'!A64:I64</f>
        <v>_______________________________________________________________
KAUÊ BRESSAN ANTUNES
Engenheiro Civil
ART: BA20220292693
CREA: 5063735828-SP</v>
      </c>
      <c r="B61" s="402"/>
      <c r="C61" s="402"/>
      <c r="D61" s="402"/>
      <c r="E61" s="403"/>
      <c r="F61" s="158"/>
      <c r="G61" s="159"/>
    </row>
    <row r="62" spans="1:8">
      <c r="F62" s="159"/>
      <c r="G62" s="160"/>
    </row>
    <row r="63" spans="1:8" ht="14.25" customHeight="1">
      <c r="F63" s="159"/>
      <c r="G63" s="166"/>
    </row>
    <row r="64" spans="1:8">
      <c r="F64" s="159"/>
    </row>
    <row r="65" spans="6:6" ht="60" customHeight="1">
      <c r="F65" s="160"/>
    </row>
    <row r="66" spans="6:6" ht="69.95" customHeight="1">
      <c r="F66" s="166"/>
    </row>
  </sheetData>
  <mergeCells count="13">
    <mergeCell ref="G23:G25"/>
    <mergeCell ref="G28:G37"/>
    <mergeCell ref="H23:H25"/>
    <mergeCell ref="A58:C58"/>
    <mergeCell ref="D58:E58"/>
    <mergeCell ref="A59:C59"/>
    <mergeCell ref="D59:E59"/>
    <mergeCell ref="A61:E61"/>
    <mergeCell ref="B1:E1"/>
    <mergeCell ref="B2:E2"/>
    <mergeCell ref="B3:E3"/>
    <mergeCell ref="A5:E5"/>
    <mergeCell ref="A7:E7"/>
  </mergeCells>
  <pageMargins left="0.5" right="0.5" top="1" bottom="1" header="0.5" footer="0.5"/>
  <pageSetup paperSize="9" scale="81" fitToHeight="0" orientation="landscape" r:id="rId1"/>
  <headerFooter>
    <oddHeader>&amp;L &amp;CMinha Empresa
CNPJ:</oddHeader>
    <oddFooter>&amp;L &amp;C  -  -  / BA
 / kaue.antunes@codevasf.gov.br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P37"/>
  <sheetViews>
    <sheetView view="pageBreakPreview" zoomScale="115" workbookViewId="0">
      <selection activeCell="E23" sqref="E23"/>
    </sheetView>
  </sheetViews>
  <sheetFormatPr defaultColWidth="9" defaultRowHeight="14.25"/>
  <cols>
    <col min="2" max="2" width="11.875" customWidth="1"/>
    <col min="3" max="3" width="41.125" customWidth="1"/>
    <col min="6" max="6" width="9.625" customWidth="1"/>
    <col min="9" max="9" width="9.625" customWidth="1"/>
  </cols>
  <sheetData>
    <row r="2" spans="2:16" ht="20.25">
      <c r="B2" s="453" t="s">
        <v>315</v>
      </c>
      <c r="C2" s="454"/>
      <c r="D2" s="454"/>
      <c r="E2" s="454"/>
      <c r="F2" s="454"/>
      <c r="G2" s="454"/>
      <c r="H2" s="454"/>
      <c r="I2" s="455"/>
      <c r="J2" s="117"/>
      <c r="K2" s="117"/>
      <c r="L2" s="117"/>
      <c r="M2" s="117"/>
      <c r="N2" s="117"/>
      <c r="O2" s="117"/>
      <c r="P2" s="117"/>
    </row>
    <row r="3" spans="2:16" ht="20.25">
      <c r="B3" s="456"/>
      <c r="C3" s="457"/>
      <c r="D3" s="457"/>
      <c r="E3" s="457"/>
      <c r="F3" s="457"/>
      <c r="G3" s="457"/>
      <c r="H3" s="457"/>
      <c r="I3" s="458"/>
      <c r="J3" s="117"/>
      <c r="K3" s="117"/>
      <c r="L3" s="117"/>
      <c r="M3" s="117"/>
      <c r="N3" s="117"/>
      <c r="O3" s="117"/>
      <c r="P3" s="117"/>
    </row>
    <row r="4" spans="2:16" ht="15.75">
      <c r="B4" s="78" t="s">
        <v>316</v>
      </c>
      <c r="C4" s="459" t="str">
        <f>'Orçamento Sintético'!A5</f>
        <v>Construção da Praça no Povoado Honorato, no município de Barro Alto/BA</v>
      </c>
      <c r="D4" s="460"/>
      <c r="E4" s="460"/>
      <c r="F4" s="460"/>
      <c r="G4" s="460"/>
      <c r="H4" s="460"/>
      <c r="I4" s="461"/>
      <c r="J4" s="117"/>
      <c r="K4" s="117"/>
      <c r="L4" s="117"/>
      <c r="M4" s="117"/>
      <c r="N4" s="117"/>
      <c r="O4" s="117"/>
      <c r="P4" s="117"/>
    </row>
    <row r="5" spans="2:16" ht="15.75">
      <c r="B5" s="79"/>
      <c r="C5" s="462"/>
      <c r="D5" s="462"/>
      <c r="E5" s="462"/>
      <c r="F5" s="462"/>
      <c r="G5" s="462"/>
      <c r="H5" s="462"/>
      <c r="I5" s="463"/>
      <c r="J5" s="117"/>
      <c r="K5" s="117"/>
      <c r="L5" s="117"/>
      <c r="M5" s="117"/>
      <c r="N5" s="117"/>
      <c r="O5" s="117"/>
      <c r="P5" s="117"/>
    </row>
    <row r="6" spans="2:16" ht="15">
      <c r="B6" s="464" t="s">
        <v>317</v>
      </c>
      <c r="C6" s="465"/>
      <c r="D6" s="465"/>
      <c r="E6" s="465"/>
      <c r="F6" s="465"/>
      <c r="G6" s="465"/>
      <c r="H6" s="465"/>
      <c r="I6" s="466"/>
      <c r="J6" s="117"/>
      <c r="K6" s="117"/>
      <c r="L6" s="117"/>
      <c r="M6" s="117"/>
      <c r="N6" s="117"/>
      <c r="O6" s="117"/>
      <c r="P6" s="117"/>
    </row>
    <row r="7" spans="2:16" ht="15">
      <c r="B7" s="80"/>
      <c r="C7" s="81"/>
      <c r="D7" s="81"/>
      <c r="E7" s="81"/>
      <c r="F7" s="81"/>
      <c r="G7" s="82"/>
      <c r="H7" s="82"/>
      <c r="I7" s="118"/>
      <c r="J7" s="117"/>
      <c r="K7" s="117"/>
      <c r="L7" s="117"/>
      <c r="M7" s="467" t="s">
        <v>318</v>
      </c>
      <c r="N7" s="467"/>
      <c r="O7" s="467"/>
      <c r="P7" s="467"/>
    </row>
    <row r="8" spans="2:16" ht="15">
      <c r="B8" s="464" t="s">
        <v>319</v>
      </c>
      <c r="C8" s="465"/>
      <c r="D8" s="466"/>
      <c r="E8" s="81"/>
      <c r="F8" s="521" t="s">
        <v>320</v>
      </c>
      <c r="G8" s="522"/>
      <c r="H8" s="522"/>
      <c r="I8" s="523"/>
      <c r="J8" s="117"/>
      <c r="K8" s="117"/>
      <c r="L8" s="117"/>
      <c r="M8" s="521" t="s">
        <v>320</v>
      </c>
      <c r="N8" s="522"/>
      <c r="O8" s="522"/>
      <c r="P8" s="523"/>
    </row>
    <row r="9" spans="2:16">
      <c r="B9" s="493" t="s">
        <v>321</v>
      </c>
      <c r="C9" s="497" t="s">
        <v>322</v>
      </c>
      <c r="D9" s="501" t="s">
        <v>323</v>
      </c>
      <c r="E9" s="83"/>
      <c r="F9" s="524"/>
      <c r="G9" s="525"/>
      <c r="H9" s="525"/>
      <c r="I9" s="526"/>
      <c r="J9" s="117"/>
      <c r="K9" s="117"/>
      <c r="L9" s="117"/>
      <c r="M9" s="524"/>
      <c r="N9" s="525"/>
      <c r="O9" s="525"/>
      <c r="P9" s="526"/>
    </row>
    <row r="10" spans="2:16">
      <c r="B10" s="494"/>
      <c r="C10" s="498"/>
      <c r="D10" s="502"/>
      <c r="E10" s="83"/>
      <c r="F10" s="84" t="s">
        <v>324</v>
      </c>
      <c r="G10" s="468" t="s">
        <v>325</v>
      </c>
      <c r="H10" s="469"/>
      <c r="I10" s="119" t="s">
        <v>326</v>
      </c>
      <c r="J10" s="117"/>
      <c r="K10" s="117"/>
      <c r="L10" s="117"/>
      <c r="M10" s="84" t="s">
        <v>324</v>
      </c>
      <c r="N10" s="468" t="s">
        <v>325</v>
      </c>
      <c r="O10" s="469"/>
      <c r="P10" s="119" t="s">
        <v>326</v>
      </c>
    </row>
    <row r="11" spans="2:16">
      <c r="B11" s="470"/>
      <c r="C11" s="471"/>
      <c r="D11" s="471"/>
      <c r="E11" s="85"/>
      <c r="F11" s="85"/>
      <c r="G11" s="82"/>
      <c r="H11" s="82"/>
      <c r="I11" s="118"/>
      <c r="J11" s="117"/>
      <c r="K11" s="117"/>
      <c r="L11" s="117"/>
      <c r="M11" s="85"/>
      <c r="N11" s="82"/>
      <c r="O11" s="82"/>
      <c r="P11" s="118"/>
    </row>
    <row r="12" spans="2:16">
      <c r="B12" s="86" t="s">
        <v>327</v>
      </c>
      <c r="C12" s="472" t="s">
        <v>328</v>
      </c>
      <c r="D12" s="473"/>
      <c r="E12" s="87"/>
      <c r="F12" s="88"/>
      <c r="G12" s="474"/>
      <c r="H12" s="475"/>
      <c r="I12" s="120"/>
      <c r="J12" s="117"/>
      <c r="K12" s="117"/>
      <c r="L12" s="117"/>
      <c r="M12" s="88"/>
      <c r="N12" s="474"/>
      <c r="O12" s="475"/>
      <c r="P12" s="120"/>
    </row>
    <row r="13" spans="2:16">
      <c r="B13" s="89" t="s">
        <v>329</v>
      </c>
      <c r="C13" s="90" t="s">
        <v>330</v>
      </c>
      <c r="D13" s="91">
        <v>8.0000000000000002E-3</v>
      </c>
      <c r="E13" s="92"/>
      <c r="F13" s="93">
        <v>8.0000000000000002E-3</v>
      </c>
      <c r="G13" s="476">
        <v>8.0000000000000002E-3</v>
      </c>
      <c r="H13" s="477"/>
      <c r="I13" s="121">
        <v>0.01</v>
      </c>
      <c r="J13" s="117"/>
      <c r="K13" s="117"/>
      <c r="L13" s="117"/>
      <c r="M13" s="122">
        <v>3.2000000000000002E-3</v>
      </c>
      <c r="N13" s="476">
        <v>4.0000000000000001E-3</v>
      </c>
      <c r="O13" s="477"/>
      <c r="P13" s="121">
        <v>7.4000000000000003E-3</v>
      </c>
    </row>
    <row r="14" spans="2:16">
      <c r="B14" s="89" t="s">
        <v>331</v>
      </c>
      <c r="C14" s="90" t="s">
        <v>332</v>
      </c>
      <c r="D14" s="91">
        <v>1.2699999999999999E-2</v>
      </c>
      <c r="E14" s="92"/>
      <c r="F14" s="93">
        <v>9.7000000000000003E-3</v>
      </c>
      <c r="G14" s="476">
        <v>1.2699999999999999E-2</v>
      </c>
      <c r="H14" s="477"/>
      <c r="I14" s="121">
        <v>1.2699999999999999E-2</v>
      </c>
      <c r="J14" s="117"/>
      <c r="K14" s="117"/>
      <c r="L14" s="117"/>
      <c r="M14" s="122">
        <v>5.0000000000000001E-3</v>
      </c>
      <c r="N14" s="476">
        <v>5.5999999999999999E-3</v>
      </c>
      <c r="O14" s="477"/>
      <c r="P14" s="121">
        <v>9.7000000000000003E-3</v>
      </c>
    </row>
    <row r="15" spans="2:16">
      <c r="B15" s="89" t="s">
        <v>333</v>
      </c>
      <c r="C15" s="90" t="s">
        <v>334</v>
      </c>
      <c r="D15" s="91">
        <v>0.01</v>
      </c>
      <c r="E15" s="92"/>
      <c r="F15" s="93">
        <v>5.8999999999999999E-3</v>
      </c>
      <c r="G15" s="476">
        <v>1.23E-2</v>
      </c>
      <c r="H15" s="477"/>
      <c r="I15" s="121">
        <v>1.3899999999999999E-2</v>
      </c>
      <c r="J15" s="117"/>
      <c r="K15" s="117"/>
      <c r="L15" s="117"/>
      <c r="M15" s="93">
        <v>1.0200000000000001E-2</v>
      </c>
      <c r="N15" s="476">
        <v>1.11E-2</v>
      </c>
      <c r="O15" s="477"/>
      <c r="P15" s="121">
        <v>1.21E-2</v>
      </c>
    </row>
    <row r="16" spans="2:16">
      <c r="B16" s="89" t="s">
        <v>335</v>
      </c>
      <c r="C16" s="90" t="s">
        <v>336</v>
      </c>
      <c r="D16" s="91">
        <v>0.04</v>
      </c>
      <c r="E16" s="92"/>
      <c r="F16" s="93">
        <v>0.03</v>
      </c>
      <c r="G16" s="476">
        <v>0.04</v>
      </c>
      <c r="H16" s="477"/>
      <c r="I16" s="121">
        <v>5.5E-2</v>
      </c>
      <c r="J16" s="117"/>
      <c r="K16" s="117"/>
      <c r="L16" s="117"/>
      <c r="M16" s="93">
        <v>3.7999999999999999E-2</v>
      </c>
      <c r="N16" s="476">
        <v>4.0099999999999997E-2</v>
      </c>
      <c r="O16" s="477"/>
      <c r="P16" s="121">
        <v>4.6699999999999998E-2</v>
      </c>
    </row>
    <row r="17" spans="2:16">
      <c r="B17" s="478" t="s">
        <v>337</v>
      </c>
      <c r="C17" s="479"/>
      <c r="D17" s="94">
        <f>SUM(D13:D16)</f>
        <v>7.0699999999999999E-2</v>
      </c>
      <c r="E17" s="95"/>
      <c r="F17" s="96"/>
      <c r="G17" s="480"/>
      <c r="H17" s="481"/>
      <c r="I17" s="123"/>
      <c r="J17" s="117"/>
      <c r="K17" s="117"/>
      <c r="L17" s="117"/>
      <c r="M17" s="96"/>
      <c r="N17" s="480"/>
      <c r="O17" s="481"/>
      <c r="P17" s="123"/>
    </row>
    <row r="18" spans="2:16">
      <c r="B18" s="482"/>
      <c r="C18" s="483"/>
      <c r="D18" s="483"/>
      <c r="E18" s="97"/>
      <c r="F18" s="92"/>
      <c r="G18" s="92"/>
      <c r="H18" s="92"/>
      <c r="I18" s="124"/>
      <c r="J18" s="117"/>
      <c r="K18" s="117"/>
      <c r="L18" s="117"/>
      <c r="M18" s="92"/>
      <c r="N18" s="92"/>
      <c r="O18" s="92"/>
      <c r="P18" s="124"/>
    </row>
    <row r="19" spans="2:16">
      <c r="B19" s="86" t="s">
        <v>338</v>
      </c>
      <c r="C19" s="472" t="s">
        <v>339</v>
      </c>
      <c r="D19" s="473"/>
      <c r="E19" s="87"/>
      <c r="F19" s="98"/>
      <c r="G19" s="484"/>
      <c r="H19" s="485"/>
      <c r="I19" s="125"/>
      <c r="J19" s="117"/>
      <c r="K19" s="117"/>
      <c r="L19" s="117"/>
      <c r="M19" s="98"/>
      <c r="N19" s="484"/>
      <c r="O19" s="485"/>
      <c r="P19" s="125"/>
    </row>
    <row r="20" spans="2:16">
      <c r="B20" s="89" t="s">
        <v>340</v>
      </c>
      <c r="C20" s="90" t="s">
        <v>341</v>
      </c>
      <c r="D20" s="91">
        <v>7.0000000000000007E-2</v>
      </c>
      <c r="E20" s="92"/>
      <c r="F20" s="93">
        <v>6.1600000000000002E-2</v>
      </c>
      <c r="G20" s="476">
        <v>7.3999999999999996E-2</v>
      </c>
      <c r="H20" s="477"/>
      <c r="I20" s="121">
        <v>8.9599999999999999E-2</v>
      </c>
      <c r="J20" s="117"/>
      <c r="K20" s="117"/>
      <c r="L20" s="117"/>
      <c r="M20" s="93">
        <v>6.6400000000000001E-2</v>
      </c>
      <c r="N20" s="476">
        <v>7.2999999999999995E-2</v>
      </c>
      <c r="O20" s="477"/>
      <c r="P20" s="121">
        <v>8.6900000000000005E-2</v>
      </c>
    </row>
    <row r="21" spans="2:16">
      <c r="B21" s="478" t="s">
        <v>342</v>
      </c>
      <c r="C21" s="479"/>
      <c r="D21" s="94">
        <f>SUM(D20)</f>
        <v>7.0000000000000007E-2</v>
      </c>
      <c r="E21" s="95"/>
      <c r="F21" s="96"/>
      <c r="G21" s="480"/>
      <c r="H21" s="481"/>
      <c r="I21" s="123"/>
      <c r="J21" s="117"/>
      <c r="K21" s="117"/>
      <c r="L21" s="117"/>
      <c r="M21" s="96"/>
      <c r="N21" s="480"/>
      <c r="O21" s="481"/>
      <c r="P21" s="123"/>
    </row>
    <row r="22" spans="2:16">
      <c r="B22" s="482"/>
      <c r="C22" s="483"/>
      <c r="D22" s="483"/>
      <c r="E22" s="97"/>
      <c r="F22" s="92"/>
      <c r="G22" s="92"/>
      <c r="H22" s="92"/>
      <c r="I22" s="124"/>
      <c r="J22" s="117"/>
      <c r="K22" s="117"/>
      <c r="L22" s="117"/>
      <c r="M22" s="117"/>
      <c r="N22" s="117"/>
      <c r="O22" s="117"/>
      <c r="P22" s="117"/>
    </row>
    <row r="23" spans="2:16">
      <c r="B23" s="86" t="s">
        <v>343</v>
      </c>
      <c r="C23" s="472" t="s">
        <v>344</v>
      </c>
      <c r="D23" s="473"/>
      <c r="E23" s="87"/>
      <c r="F23" s="486" t="s">
        <v>345</v>
      </c>
      <c r="G23" s="487"/>
      <c r="H23" s="487"/>
      <c r="I23" s="488"/>
      <c r="J23" s="117"/>
      <c r="K23" s="117"/>
      <c r="L23" s="117"/>
      <c r="M23" s="117"/>
      <c r="N23" s="117"/>
      <c r="O23" s="117"/>
      <c r="P23" s="117"/>
    </row>
    <row r="24" spans="2:16">
      <c r="B24" s="89" t="s">
        <v>346</v>
      </c>
      <c r="C24" s="90" t="s">
        <v>347</v>
      </c>
      <c r="D24" s="91">
        <v>6.4999999999999997E-3</v>
      </c>
      <c r="E24" s="92"/>
      <c r="F24" s="507" t="s">
        <v>348</v>
      </c>
      <c r="G24" s="527" t="s">
        <v>349</v>
      </c>
      <c r="H24" s="528"/>
      <c r="I24" s="509" t="s">
        <v>350</v>
      </c>
      <c r="J24" s="117"/>
      <c r="K24" s="117"/>
      <c r="L24" s="117"/>
      <c r="M24" s="117"/>
      <c r="N24" s="117"/>
      <c r="O24" s="117"/>
      <c r="P24" s="117"/>
    </row>
    <row r="25" spans="2:16">
      <c r="B25" s="89" t="s">
        <v>351</v>
      </c>
      <c r="C25" s="90" t="s">
        <v>352</v>
      </c>
      <c r="D25" s="91">
        <v>0.03</v>
      </c>
      <c r="E25" s="92"/>
      <c r="F25" s="508"/>
      <c r="G25" s="529"/>
      <c r="H25" s="530"/>
      <c r="I25" s="510"/>
      <c r="J25" s="117"/>
      <c r="K25" s="117"/>
      <c r="L25" s="117"/>
      <c r="M25" s="117"/>
      <c r="N25" s="117"/>
      <c r="O25" s="117"/>
      <c r="P25" s="117"/>
    </row>
    <row r="26" spans="2:16">
      <c r="B26" s="495" t="s">
        <v>353</v>
      </c>
      <c r="C26" s="499" t="s">
        <v>354</v>
      </c>
      <c r="D26" s="503">
        <f>I27</f>
        <v>0.03</v>
      </c>
      <c r="E26" s="92"/>
      <c r="F26" s="101"/>
      <c r="G26" s="92"/>
      <c r="H26" s="92"/>
      <c r="I26" s="124"/>
      <c r="J26" s="117"/>
      <c r="K26" s="117"/>
      <c r="L26" s="117"/>
      <c r="M26" s="117"/>
      <c r="N26" s="117"/>
      <c r="O26" s="117"/>
      <c r="P26" s="117"/>
    </row>
    <row r="27" spans="2:16">
      <c r="B27" s="496"/>
      <c r="C27" s="500"/>
      <c r="D27" s="504"/>
      <c r="E27" s="92"/>
      <c r="F27" s="102">
        <v>0.05</v>
      </c>
      <c r="G27" s="489">
        <v>0.6</v>
      </c>
      <c r="H27" s="490"/>
      <c r="I27" s="126">
        <f>G27*F27</f>
        <v>0.03</v>
      </c>
      <c r="J27" s="117"/>
      <c r="K27" s="117"/>
      <c r="L27" s="117"/>
      <c r="M27" s="117"/>
      <c r="N27" s="117"/>
      <c r="O27" s="117"/>
      <c r="P27" s="117"/>
    </row>
    <row r="28" spans="2:16">
      <c r="B28" s="99" t="s">
        <v>355</v>
      </c>
      <c r="C28" s="103" t="s">
        <v>356</v>
      </c>
      <c r="D28" s="100"/>
      <c r="E28" s="92"/>
      <c r="F28" s="104"/>
      <c r="G28" s="104"/>
      <c r="H28" s="104"/>
      <c r="I28" s="127"/>
      <c r="J28" s="117"/>
      <c r="K28" s="117"/>
      <c r="L28" s="117"/>
      <c r="M28" s="117"/>
      <c r="N28" s="117"/>
      <c r="O28" s="117"/>
      <c r="P28" s="117"/>
    </row>
    <row r="29" spans="2:16">
      <c r="B29" s="478" t="s">
        <v>357</v>
      </c>
      <c r="C29" s="479"/>
      <c r="D29" s="94">
        <f>SUM(D24:D28)</f>
        <v>6.6500000000000004E-2</v>
      </c>
      <c r="E29" s="95"/>
      <c r="F29" s="105"/>
      <c r="G29" s="105"/>
      <c r="H29" s="105"/>
      <c r="I29" s="128"/>
      <c r="J29" s="117"/>
      <c r="K29" s="117"/>
      <c r="L29" s="117"/>
      <c r="M29" s="117"/>
      <c r="N29" s="117"/>
      <c r="O29" s="117"/>
      <c r="P29" s="117"/>
    </row>
    <row r="30" spans="2:16">
      <c r="B30" s="491"/>
      <c r="C30" s="492"/>
      <c r="D30" s="492"/>
      <c r="E30" s="106"/>
      <c r="F30" s="105"/>
      <c r="G30" s="105"/>
      <c r="H30" s="105"/>
      <c r="I30" s="128"/>
      <c r="J30" s="117"/>
      <c r="K30" s="117"/>
      <c r="L30" s="117"/>
      <c r="M30" s="117"/>
      <c r="N30" s="117"/>
      <c r="O30" s="117"/>
      <c r="P30" s="117"/>
    </row>
    <row r="31" spans="2:16">
      <c r="B31" s="107"/>
      <c r="C31" s="87" t="s">
        <v>358</v>
      </c>
      <c r="D31" s="108"/>
      <c r="E31" s="108"/>
      <c r="F31" s="105"/>
      <c r="G31" s="105"/>
      <c r="H31" s="105"/>
      <c r="I31" s="128"/>
      <c r="J31" s="117"/>
      <c r="K31" s="117"/>
      <c r="L31" s="117"/>
      <c r="M31" s="117"/>
      <c r="N31" s="117"/>
      <c r="O31" s="117"/>
      <c r="P31" s="117"/>
    </row>
    <row r="32" spans="2:16">
      <c r="B32" s="109"/>
      <c r="C32" s="106"/>
      <c r="D32" s="106"/>
      <c r="E32" s="106"/>
      <c r="F32" s="105"/>
      <c r="G32" s="105"/>
      <c r="H32" s="105"/>
      <c r="I32" s="128"/>
      <c r="J32" s="117"/>
      <c r="K32" s="117"/>
      <c r="L32" s="117"/>
      <c r="M32" s="117"/>
      <c r="N32" s="117"/>
      <c r="O32" s="117"/>
      <c r="P32" s="117"/>
    </row>
    <row r="33" spans="2:9">
      <c r="B33" s="511" t="s">
        <v>359</v>
      </c>
      <c r="C33" s="512"/>
      <c r="D33" s="513"/>
      <c r="E33" s="110"/>
      <c r="F33" s="105"/>
      <c r="G33" s="105"/>
      <c r="H33" s="105"/>
      <c r="I33" s="128"/>
    </row>
    <row r="34" spans="2:9">
      <c r="B34" s="514"/>
      <c r="C34" s="515"/>
      <c r="D34" s="516"/>
      <c r="E34" s="110"/>
      <c r="F34" s="105"/>
      <c r="G34" s="105"/>
      <c r="H34" s="105"/>
      <c r="I34" s="128"/>
    </row>
    <row r="35" spans="2:9">
      <c r="B35" s="111"/>
      <c r="C35" s="112"/>
      <c r="D35" s="113"/>
      <c r="E35" s="113"/>
      <c r="F35" s="105"/>
      <c r="G35" s="105"/>
      <c r="H35" s="105"/>
      <c r="I35" s="128"/>
    </row>
    <row r="36" spans="2:9" ht="15.75">
      <c r="B36" s="517" t="s">
        <v>360</v>
      </c>
      <c r="C36" s="518"/>
      <c r="D36" s="505">
        <f>(((1+D16+D13+D14)*(1+D15)*(1+D21))/(1-D29))-1</f>
        <v>0.227957675415105</v>
      </c>
      <c r="E36" s="114"/>
      <c r="F36" s="105"/>
      <c r="G36" s="105"/>
      <c r="H36" s="105"/>
      <c r="I36" s="128"/>
    </row>
    <row r="37" spans="2:9" ht="15.75">
      <c r="B37" s="519"/>
      <c r="C37" s="520"/>
      <c r="D37" s="506"/>
      <c r="E37" s="115"/>
      <c r="F37" s="116"/>
      <c r="G37" s="116"/>
      <c r="H37" s="116"/>
      <c r="I37" s="129"/>
    </row>
  </sheetData>
  <mergeCells count="53">
    <mergeCell ref="D36:D37"/>
    <mergeCell ref="F24:F25"/>
    <mergeCell ref="I24:I25"/>
    <mergeCell ref="B33:D34"/>
    <mergeCell ref="B36:C37"/>
    <mergeCell ref="G24:H25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  <mergeCell ref="F23:I23"/>
    <mergeCell ref="G27:H27"/>
    <mergeCell ref="B29:C29"/>
    <mergeCell ref="G20:H20"/>
    <mergeCell ref="N20:O20"/>
    <mergeCell ref="B21:C21"/>
    <mergeCell ref="G21:H21"/>
    <mergeCell ref="N21:O21"/>
    <mergeCell ref="B17:C17"/>
    <mergeCell ref="G17:H17"/>
    <mergeCell ref="N17:O17"/>
    <mergeCell ref="B18:D18"/>
    <mergeCell ref="C19:D19"/>
    <mergeCell ref="G19:H19"/>
    <mergeCell ref="N19:O19"/>
    <mergeCell ref="G14:H14"/>
    <mergeCell ref="N14:O14"/>
    <mergeCell ref="G15:H15"/>
    <mergeCell ref="N15:O15"/>
    <mergeCell ref="G16:H16"/>
    <mergeCell ref="N16:O16"/>
    <mergeCell ref="C12:D12"/>
    <mergeCell ref="G12:H12"/>
    <mergeCell ref="N12:O12"/>
    <mergeCell ref="G13:H13"/>
    <mergeCell ref="N13:O13"/>
    <mergeCell ref="M7:P7"/>
    <mergeCell ref="B8:D8"/>
    <mergeCell ref="G10:H10"/>
    <mergeCell ref="N10:O10"/>
    <mergeCell ref="B11:D11"/>
    <mergeCell ref="M8:P9"/>
    <mergeCell ref="F8:I9"/>
    <mergeCell ref="B2:I2"/>
    <mergeCell ref="B3:I3"/>
    <mergeCell ref="C4:I4"/>
    <mergeCell ref="C5:I5"/>
    <mergeCell ref="B6:I6"/>
  </mergeCells>
  <pageMargins left="0.511811024" right="0.511811024" top="0.78740157499999996" bottom="0.78740157499999996" header="0.31496062000000002" footer="0.31496062000000002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G53"/>
  <sheetViews>
    <sheetView view="pageBreakPreview" topLeftCell="A31" workbookViewId="0">
      <selection activeCell="K38" sqref="K38"/>
    </sheetView>
  </sheetViews>
  <sheetFormatPr defaultColWidth="7.875" defaultRowHeight="12.75"/>
  <cols>
    <col min="1" max="1" width="7.875" style="44"/>
    <col min="2" max="2" width="31.625" style="44" customWidth="1"/>
    <col min="3" max="3" width="34.875" style="44" customWidth="1"/>
    <col min="4" max="4" width="14.625" style="44" hidden="1" customWidth="1"/>
    <col min="5" max="5" width="14.75" style="44" hidden="1" customWidth="1"/>
    <col min="6" max="6" width="11.5" style="44" customWidth="1"/>
    <col min="7" max="7" width="14.75" style="44" customWidth="1"/>
    <col min="8" max="16384" width="7.875" style="44"/>
  </cols>
  <sheetData>
    <row r="2" spans="2:7">
      <c r="B2" s="45"/>
      <c r="C2" s="46"/>
      <c r="D2" s="46"/>
      <c r="E2" s="46"/>
      <c r="F2" s="46"/>
      <c r="G2" s="47"/>
    </row>
    <row r="3" spans="2:7">
      <c r="B3" s="48"/>
      <c r="G3" s="49"/>
    </row>
    <row r="4" spans="2:7">
      <c r="B4" s="48"/>
      <c r="G4" s="49"/>
    </row>
    <row r="5" spans="2:7">
      <c r="B5" s="48"/>
      <c r="G5" s="49"/>
    </row>
    <row r="6" spans="2:7">
      <c r="B6" s="48"/>
      <c r="G6" s="49"/>
    </row>
    <row r="7" spans="2:7">
      <c r="B7" s="50" t="s">
        <v>361</v>
      </c>
      <c r="C7" s="51"/>
      <c r="D7" s="52"/>
      <c r="E7" s="52"/>
      <c r="F7" s="52"/>
      <c r="G7" s="53"/>
    </row>
    <row r="8" spans="2:7">
      <c r="B8" s="50" t="s">
        <v>362</v>
      </c>
      <c r="C8" s="51"/>
      <c r="D8" s="52"/>
      <c r="E8" s="52"/>
      <c r="F8" s="52"/>
      <c r="G8" s="53"/>
    </row>
    <row r="9" spans="2:7">
      <c r="B9" s="50" t="s">
        <v>363</v>
      </c>
      <c r="C9" s="51"/>
      <c r="D9" s="52"/>
      <c r="E9" s="52"/>
      <c r="F9" s="52"/>
      <c r="G9" s="53"/>
    </row>
    <row r="10" spans="2:7">
      <c r="B10" s="543"/>
      <c r="C10" s="544"/>
      <c r="D10" s="544"/>
      <c r="E10" s="544"/>
      <c r="F10" s="544"/>
      <c r="G10" s="545"/>
    </row>
    <row r="11" spans="2:7">
      <c r="B11" s="546"/>
      <c r="C11" s="547"/>
      <c r="D11" s="547"/>
      <c r="E11" s="547"/>
      <c r="F11" s="547"/>
      <c r="G11" s="548"/>
    </row>
    <row r="12" spans="2:7" ht="15.75">
      <c r="B12" s="531" t="s">
        <v>364</v>
      </c>
      <c r="C12" s="532"/>
      <c r="D12" s="532"/>
      <c r="E12" s="532"/>
      <c r="F12" s="532"/>
      <c r="G12" s="533"/>
    </row>
    <row r="13" spans="2:7" ht="15.75">
      <c r="B13" s="55" t="s">
        <v>365</v>
      </c>
      <c r="C13" s="54"/>
      <c r="D13" s="534" t="s">
        <v>366</v>
      </c>
      <c r="E13" s="535"/>
      <c r="F13" s="534" t="s">
        <v>143</v>
      </c>
      <c r="G13" s="533"/>
    </row>
    <row r="14" spans="2:7" ht="15">
      <c r="B14" s="536"/>
      <c r="C14" s="537"/>
      <c r="D14" s="537"/>
      <c r="E14" s="537"/>
      <c r="F14" s="537"/>
      <c r="G14" s="538"/>
    </row>
    <row r="15" spans="2:7">
      <c r="B15" s="549"/>
      <c r="C15" s="550"/>
      <c r="D15" s="541" t="s">
        <v>367</v>
      </c>
      <c r="E15" s="541" t="s">
        <v>368</v>
      </c>
      <c r="F15" s="541" t="s">
        <v>367</v>
      </c>
      <c r="G15" s="542" t="s">
        <v>368</v>
      </c>
    </row>
    <row r="16" spans="2:7">
      <c r="B16" s="549"/>
      <c r="C16" s="550"/>
      <c r="D16" s="541"/>
      <c r="E16" s="541"/>
      <c r="F16" s="541"/>
      <c r="G16" s="542"/>
    </row>
    <row r="17" spans="2:7" ht="15.75">
      <c r="B17" s="531" t="s">
        <v>369</v>
      </c>
      <c r="C17" s="532"/>
      <c r="D17" s="532"/>
      <c r="E17" s="532"/>
      <c r="F17" s="532"/>
      <c r="G17" s="533"/>
    </row>
    <row r="18" spans="2:7" ht="15">
      <c r="B18" s="57" t="s">
        <v>329</v>
      </c>
      <c r="C18" s="58" t="s">
        <v>370</v>
      </c>
      <c r="D18" s="59">
        <v>0</v>
      </c>
      <c r="E18" s="59">
        <v>0</v>
      </c>
      <c r="F18" s="59">
        <v>20</v>
      </c>
      <c r="G18" s="60">
        <v>20</v>
      </c>
    </row>
    <row r="19" spans="2:7" ht="15">
      <c r="B19" s="61" t="s">
        <v>331</v>
      </c>
      <c r="C19" s="62" t="s">
        <v>371</v>
      </c>
      <c r="D19" s="63">
        <v>1.5</v>
      </c>
      <c r="E19" s="63">
        <v>1.5</v>
      </c>
      <c r="F19" s="63">
        <v>1.5</v>
      </c>
      <c r="G19" s="64">
        <v>1.5</v>
      </c>
    </row>
    <row r="20" spans="2:7" ht="15">
      <c r="B20" s="61" t="s">
        <v>333</v>
      </c>
      <c r="C20" s="62" t="s">
        <v>372</v>
      </c>
      <c r="D20" s="63">
        <v>1</v>
      </c>
      <c r="E20" s="63">
        <v>1</v>
      </c>
      <c r="F20" s="63">
        <v>1</v>
      </c>
      <c r="G20" s="64">
        <v>1</v>
      </c>
    </row>
    <row r="21" spans="2:7" ht="15">
      <c r="B21" s="61" t="s">
        <v>335</v>
      </c>
      <c r="C21" s="62" t="s">
        <v>373</v>
      </c>
      <c r="D21" s="63">
        <v>0.2</v>
      </c>
      <c r="E21" s="63">
        <v>0.2</v>
      </c>
      <c r="F21" s="63">
        <v>0.2</v>
      </c>
      <c r="G21" s="64">
        <v>0.2</v>
      </c>
    </row>
    <row r="22" spans="2:7" ht="15">
      <c r="B22" s="61" t="s">
        <v>374</v>
      </c>
      <c r="C22" s="62" t="s">
        <v>375</v>
      </c>
      <c r="D22" s="63">
        <v>0.6</v>
      </c>
      <c r="E22" s="63">
        <v>0.6</v>
      </c>
      <c r="F22" s="63">
        <v>0.6</v>
      </c>
      <c r="G22" s="64">
        <v>0.6</v>
      </c>
    </row>
    <row r="23" spans="2:7" ht="15">
      <c r="B23" s="61" t="s">
        <v>376</v>
      </c>
      <c r="C23" s="62" t="s">
        <v>377</v>
      </c>
      <c r="D23" s="63">
        <v>2.5</v>
      </c>
      <c r="E23" s="63">
        <v>2.5</v>
      </c>
      <c r="F23" s="63">
        <v>2.5</v>
      </c>
      <c r="G23" s="64">
        <v>2.5</v>
      </c>
    </row>
    <row r="24" spans="2:7" ht="15">
      <c r="B24" s="61" t="s">
        <v>378</v>
      </c>
      <c r="C24" s="62" t="s">
        <v>379</v>
      </c>
      <c r="D24" s="63">
        <v>3</v>
      </c>
      <c r="E24" s="63">
        <v>3</v>
      </c>
      <c r="F24" s="63">
        <v>3</v>
      </c>
      <c r="G24" s="64">
        <v>3</v>
      </c>
    </row>
    <row r="25" spans="2:7" ht="15">
      <c r="B25" s="61" t="s">
        <v>380</v>
      </c>
      <c r="C25" s="62" t="s">
        <v>381</v>
      </c>
      <c r="D25" s="63">
        <v>8</v>
      </c>
      <c r="E25" s="63">
        <v>8</v>
      </c>
      <c r="F25" s="63">
        <v>8</v>
      </c>
      <c r="G25" s="64">
        <v>8</v>
      </c>
    </row>
    <row r="26" spans="2:7" ht="15">
      <c r="B26" s="65" t="s">
        <v>382</v>
      </c>
      <c r="C26" s="66" t="s">
        <v>383</v>
      </c>
      <c r="D26" s="67">
        <v>0</v>
      </c>
      <c r="E26" s="67">
        <v>0</v>
      </c>
      <c r="F26" s="67">
        <v>0</v>
      </c>
      <c r="G26" s="68">
        <v>0</v>
      </c>
    </row>
    <row r="27" spans="2:7" ht="15.75">
      <c r="B27" s="56" t="s">
        <v>384</v>
      </c>
      <c r="C27" s="69" t="s">
        <v>17</v>
      </c>
      <c r="D27" s="70">
        <f>SUM(D18:D26)</f>
        <v>16.8</v>
      </c>
      <c r="E27" s="70">
        <f>SUM(E18:E26)</f>
        <v>16.8</v>
      </c>
      <c r="F27" s="70">
        <f>SUM(F18:F26)</f>
        <v>36.799999999999997</v>
      </c>
      <c r="G27" s="71">
        <f>SUM(G18:G26)</f>
        <v>36.799999999999997</v>
      </c>
    </row>
    <row r="28" spans="2:7" ht="15.75">
      <c r="B28" s="531" t="s">
        <v>385</v>
      </c>
      <c r="C28" s="532"/>
      <c r="D28" s="532"/>
      <c r="E28" s="532"/>
      <c r="F28" s="532"/>
      <c r="G28" s="533"/>
    </row>
    <row r="29" spans="2:7" ht="15">
      <c r="B29" s="57" t="s">
        <v>386</v>
      </c>
      <c r="C29" s="58" t="s">
        <v>387</v>
      </c>
      <c r="D29" s="59">
        <v>17.97</v>
      </c>
      <c r="E29" s="59" t="s">
        <v>388</v>
      </c>
      <c r="F29" s="59">
        <v>17.97</v>
      </c>
      <c r="G29" s="60" t="s">
        <v>388</v>
      </c>
    </row>
    <row r="30" spans="2:7" ht="15">
      <c r="B30" s="61" t="s">
        <v>389</v>
      </c>
      <c r="C30" s="62" t="s">
        <v>390</v>
      </c>
      <c r="D30" s="63">
        <v>3.96</v>
      </c>
      <c r="E30" s="63" t="s">
        <v>388</v>
      </c>
      <c r="F30" s="63">
        <v>3.96</v>
      </c>
      <c r="G30" s="64" t="s">
        <v>388</v>
      </c>
    </row>
    <row r="31" spans="2:7" ht="15">
      <c r="B31" s="61" t="s">
        <v>391</v>
      </c>
      <c r="C31" s="62" t="s">
        <v>392</v>
      </c>
      <c r="D31" s="63">
        <v>0.86</v>
      </c>
      <c r="E31" s="63">
        <v>0.66</v>
      </c>
      <c r="F31" s="63">
        <v>0.86</v>
      </c>
      <c r="G31" s="64">
        <v>0.66</v>
      </c>
    </row>
    <row r="32" spans="2:7" ht="15">
      <c r="B32" s="61" t="s">
        <v>393</v>
      </c>
      <c r="C32" s="62" t="s">
        <v>394</v>
      </c>
      <c r="D32" s="63">
        <v>10.97</v>
      </c>
      <c r="E32" s="63">
        <v>8.33</v>
      </c>
      <c r="F32" s="63">
        <v>10.97</v>
      </c>
      <c r="G32" s="64">
        <v>8.33</v>
      </c>
    </row>
    <row r="33" spans="2:7" ht="15">
      <c r="B33" s="61" t="s">
        <v>395</v>
      </c>
      <c r="C33" s="62" t="s">
        <v>396</v>
      </c>
      <c r="D33" s="63">
        <v>7.0000000000000007E-2</v>
      </c>
      <c r="E33" s="63">
        <v>0.06</v>
      </c>
      <c r="F33" s="63">
        <v>7.0000000000000007E-2</v>
      </c>
      <c r="G33" s="64">
        <v>0.06</v>
      </c>
    </row>
    <row r="34" spans="2:7" ht="15">
      <c r="B34" s="61" t="s">
        <v>397</v>
      </c>
      <c r="C34" s="62" t="s">
        <v>398</v>
      </c>
      <c r="D34" s="63">
        <v>0.73</v>
      </c>
      <c r="E34" s="63">
        <v>0.56000000000000005</v>
      </c>
      <c r="F34" s="63">
        <v>0.73</v>
      </c>
      <c r="G34" s="64">
        <v>0.56000000000000005</v>
      </c>
    </row>
    <row r="35" spans="2:7" ht="15">
      <c r="B35" s="61" t="s">
        <v>399</v>
      </c>
      <c r="C35" s="62" t="s">
        <v>400</v>
      </c>
      <c r="D35" s="63">
        <v>2.04</v>
      </c>
      <c r="E35" s="63" t="s">
        <v>388</v>
      </c>
      <c r="F35" s="63">
        <v>2.04</v>
      </c>
      <c r="G35" s="64" t="s">
        <v>388</v>
      </c>
    </row>
    <row r="36" spans="2:7" ht="15">
      <c r="B36" s="61" t="s">
        <v>401</v>
      </c>
      <c r="C36" s="62" t="s">
        <v>402</v>
      </c>
      <c r="D36" s="63">
        <v>0.1</v>
      </c>
      <c r="E36" s="63">
        <v>0.08</v>
      </c>
      <c r="F36" s="63">
        <v>0.1</v>
      </c>
      <c r="G36" s="64">
        <v>0.08</v>
      </c>
    </row>
    <row r="37" spans="2:7" ht="15">
      <c r="B37" s="61" t="s">
        <v>403</v>
      </c>
      <c r="C37" s="62" t="s">
        <v>404</v>
      </c>
      <c r="D37" s="63">
        <v>10.34</v>
      </c>
      <c r="E37" s="63">
        <v>7.85</v>
      </c>
      <c r="F37" s="63">
        <v>10.34</v>
      </c>
      <c r="G37" s="64">
        <v>7.85</v>
      </c>
    </row>
    <row r="38" spans="2:7" ht="15">
      <c r="B38" s="65" t="s">
        <v>405</v>
      </c>
      <c r="C38" s="66" t="s">
        <v>406</v>
      </c>
      <c r="D38" s="67">
        <v>0.03</v>
      </c>
      <c r="E38" s="67">
        <v>0.02</v>
      </c>
      <c r="F38" s="67">
        <v>0.03</v>
      </c>
      <c r="G38" s="68">
        <v>0.02</v>
      </c>
    </row>
    <row r="39" spans="2:7" ht="15.75">
      <c r="B39" s="56" t="s">
        <v>407</v>
      </c>
      <c r="C39" s="69" t="s">
        <v>408</v>
      </c>
      <c r="D39" s="70">
        <f>SUM(D29:D38)</f>
        <v>47.07</v>
      </c>
      <c r="E39" s="70">
        <f>SUM(E29:E38)</f>
        <v>17.559999999999999</v>
      </c>
      <c r="F39" s="70">
        <f>SUM(F29:F38)</f>
        <v>47.07</v>
      </c>
      <c r="G39" s="71">
        <f>SUM(G29:G38)</f>
        <v>17.559999999999999</v>
      </c>
    </row>
    <row r="40" spans="2:7" ht="15.75">
      <c r="B40" s="531" t="s">
        <v>409</v>
      </c>
      <c r="C40" s="532"/>
      <c r="D40" s="532"/>
      <c r="E40" s="532"/>
      <c r="F40" s="532"/>
      <c r="G40" s="533"/>
    </row>
    <row r="41" spans="2:7" ht="15">
      <c r="B41" s="57" t="s">
        <v>410</v>
      </c>
      <c r="C41" s="58" t="s">
        <v>411</v>
      </c>
      <c r="D41" s="59">
        <v>5.44</v>
      </c>
      <c r="E41" s="59">
        <v>4.13</v>
      </c>
      <c r="F41" s="59">
        <v>5.44</v>
      </c>
      <c r="G41" s="60">
        <v>4.13</v>
      </c>
    </row>
    <row r="42" spans="2:7" ht="15">
      <c r="B42" s="61" t="s">
        <v>412</v>
      </c>
      <c r="C42" s="62" t="s">
        <v>413</v>
      </c>
      <c r="D42" s="63">
        <v>0.13</v>
      </c>
      <c r="E42" s="63">
        <v>0.1</v>
      </c>
      <c r="F42" s="63">
        <v>0.13</v>
      </c>
      <c r="G42" s="64">
        <v>0.1</v>
      </c>
    </row>
    <row r="43" spans="2:7" ht="15">
      <c r="B43" s="61" t="s">
        <v>414</v>
      </c>
      <c r="C43" s="62" t="s">
        <v>415</v>
      </c>
      <c r="D43" s="63">
        <v>3.41</v>
      </c>
      <c r="E43" s="63">
        <v>2.59</v>
      </c>
      <c r="F43" s="63">
        <v>3.41</v>
      </c>
      <c r="G43" s="64">
        <v>2.59</v>
      </c>
    </row>
    <row r="44" spans="2:7" ht="15">
      <c r="B44" s="61" t="s">
        <v>416</v>
      </c>
      <c r="C44" s="62" t="s">
        <v>417</v>
      </c>
      <c r="D44" s="63">
        <v>3.36</v>
      </c>
      <c r="E44" s="63">
        <v>2.5499999999999998</v>
      </c>
      <c r="F44" s="63">
        <v>3.36</v>
      </c>
      <c r="G44" s="64">
        <v>2.5499999999999998</v>
      </c>
    </row>
    <row r="45" spans="2:7" ht="15">
      <c r="B45" s="65" t="s">
        <v>418</v>
      </c>
      <c r="C45" s="66" t="s">
        <v>419</v>
      </c>
      <c r="D45" s="67">
        <v>0.46</v>
      </c>
      <c r="E45" s="67">
        <v>0.35</v>
      </c>
      <c r="F45" s="67">
        <v>0.46</v>
      </c>
      <c r="G45" s="68">
        <v>0.35</v>
      </c>
    </row>
    <row r="46" spans="2:7" ht="15.75">
      <c r="B46" s="56" t="s">
        <v>420</v>
      </c>
      <c r="C46" s="69" t="s">
        <v>408</v>
      </c>
      <c r="D46" s="70">
        <f>SUM(D41:D45)</f>
        <v>12.8</v>
      </c>
      <c r="E46" s="70">
        <f>SUM(E41:E45)</f>
        <v>9.7200000000000006</v>
      </c>
      <c r="F46" s="70">
        <f>SUM(F41:F45)</f>
        <v>12.8</v>
      </c>
      <c r="G46" s="71">
        <f>SUM(G41:G45)</f>
        <v>9.7200000000000006</v>
      </c>
    </row>
    <row r="47" spans="2:7" ht="15.75">
      <c r="B47" s="531" t="s">
        <v>421</v>
      </c>
      <c r="C47" s="532"/>
      <c r="D47" s="532"/>
      <c r="E47" s="532"/>
      <c r="F47" s="532"/>
      <c r="G47" s="533"/>
    </row>
    <row r="48" spans="2:7" ht="15">
      <c r="B48" s="57" t="s">
        <v>422</v>
      </c>
      <c r="C48" s="58" t="s">
        <v>423</v>
      </c>
      <c r="D48" s="59">
        <v>7.91</v>
      </c>
      <c r="E48" s="59">
        <v>2.95</v>
      </c>
      <c r="F48" s="59">
        <v>17.32</v>
      </c>
      <c r="G48" s="60">
        <v>6.46</v>
      </c>
    </row>
    <row r="49" spans="2:7" ht="76.5" customHeight="1">
      <c r="B49" s="72" t="s">
        <v>424</v>
      </c>
      <c r="C49" s="73" t="s">
        <v>425</v>
      </c>
      <c r="D49" s="67">
        <v>0.46</v>
      </c>
      <c r="E49" s="67">
        <v>0.35</v>
      </c>
      <c r="F49" s="67">
        <v>0.48</v>
      </c>
      <c r="G49" s="68">
        <v>0.37</v>
      </c>
    </row>
    <row r="50" spans="2:7" ht="15.75">
      <c r="B50" s="56" t="s">
        <v>426</v>
      </c>
      <c r="C50" s="69" t="s">
        <v>17</v>
      </c>
      <c r="D50" s="70">
        <f>SUM(D48:D49)</f>
        <v>8.3699999999999992</v>
      </c>
      <c r="E50" s="70">
        <f>SUM(E48:E49)</f>
        <v>3.3</v>
      </c>
      <c r="F50" s="70">
        <f>SUM(F48:F49)</f>
        <v>17.8</v>
      </c>
      <c r="G50" s="71">
        <f>SUM(G48:G49)</f>
        <v>6.83</v>
      </c>
    </row>
    <row r="51" spans="2:7" ht="15">
      <c r="B51" s="536"/>
      <c r="C51" s="537"/>
      <c r="D51" s="537"/>
      <c r="E51" s="537"/>
      <c r="F51" s="537"/>
      <c r="G51" s="538"/>
    </row>
    <row r="52" spans="2:7" ht="15.75">
      <c r="B52" s="539" t="s">
        <v>427</v>
      </c>
      <c r="C52" s="540"/>
      <c r="D52" s="74">
        <f>D27+D39+D46+D50</f>
        <v>85.04</v>
      </c>
      <c r="E52" s="74">
        <f>E27+E39+E46+E50</f>
        <v>47.38</v>
      </c>
      <c r="F52" s="75">
        <f>(F27+F39+F46+F50)/100</f>
        <v>1.1447000000000001</v>
      </c>
      <c r="G52" s="76">
        <f>(G27+G39+G46+G50)/100</f>
        <v>0.70909999999999995</v>
      </c>
    </row>
    <row r="53" spans="2:7" ht="15">
      <c r="B53" s="77"/>
      <c r="C53" s="77"/>
      <c r="D53" s="77"/>
      <c r="E53" s="77"/>
      <c r="F53" s="77"/>
      <c r="G53" s="77"/>
    </row>
  </sheetData>
  <mergeCells count="16">
    <mergeCell ref="B10:G11"/>
    <mergeCell ref="B15:C16"/>
    <mergeCell ref="B28:G28"/>
    <mergeCell ref="B40:G40"/>
    <mergeCell ref="B47:G47"/>
    <mergeCell ref="B51:G51"/>
    <mergeCell ref="B52:C52"/>
    <mergeCell ref="B12:G12"/>
    <mergeCell ref="D13:E13"/>
    <mergeCell ref="F13:G13"/>
    <mergeCell ref="B14:G14"/>
    <mergeCell ref="B17:G17"/>
    <mergeCell ref="D15:D16"/>
    <mergeCell ref="E15:E16"/>
    <mergeCell ref="F15:F16"/>
    <mergeCell ref="G15:G16"/>
  </mergeCells>
  <pageMargins left="0.75" right="0.75" top="1" bottom="1" header="0.5" footer="0.5"/>
  <pageSetup paperSize="9" scale="7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0"/>
  <sheetViews>
    <sheetView showGridLines="0" view="pageBreakPreview" workbookViewId="0">
      <selection activeCell="D18" sqref="D18"/>
    </sheetView>
  </sheetViews>
  <sheetFormatPr defaultColWidth="7.875" defaultRowHeight="12.75"/>
  <cols>
    <col min="1" max="1" width="7.875" style="3"/>
    <col min="2" max="2" width="45.875" style="3" customWidth="1"/>
    <col min="3" max="3" width="19.5" style="3" customWidth="1"/>
    <col min="4" max="7" width="16.375" style="3" customWidth="1"/>
    <col min="8" max="8" width="9.875" style="3" customWidth="1"/>
    <col min="9" max="9" width="8.125" style="3" customWidth="1"/>
    <col min="10" max="13" width="7.875" style="3"/>
    <col min="14" max="14" width="8.875" style="3" customWidth="1"/>
    <col min="15" max="16384" width="7.875" style="3"/>
  </cols>
  <sheetData>
    <row r="1" spans="1:9" s="1" customFormat="1" ht="15.75" customHeight="1">
      <c r="A1" s="4"/>
      <c r="B1" s="551" t="s">
        <v>269</v>
      </c>
      <c r="C1" s="551"/>
      <c r="D1" s="551"/>
      <c r="E1" s="551"/>
      <c r="F1" s="551"/>
      <c r="G1" s="552"/>
    </row>
    <row r="2" spans="1:9" s="1" customFormat="1" ht="15.75" customHeight="1">
      <c r="A2" s="5"/>
      <c r="B2" s="553" t="s">
        <v>428</v>
      </c>
      <c r="C2" s="553"/>
      <c r="D2" s="553"/>
      <c r="E2" s="553"/>
      <c r="F2" s="553"/>
      <c r="G2" s="554"/>
    </row>
    <row r="3" spans="1:9" s="1" customFormat="1" ht="15.75" customHeight="1">
      <c r="A3" s="5"/>
      <c r="B3" s="553" t="s">
        <v>271</v>
      </c>
      <c r="C3" s="553"/>
      <c r="D3" s="553"/>
      <c r="E3" s="553"/>
      <c r="F3" s="553"/>
      <c r="G3" s="554"/>
    </row>
    <row r="4" spans="1:9">
      <c r="A4" s="6"/>
      <c r="B4" s="7"/>
      <c r="C4" s="8"/>
      <c r="D4" s="8"/>
      <c r="E4" s="8"/>
      <c r="F4" s="8"/>
      <c r="G4" s="9"/>
    </row>
    <row r="5" spans="1:9" s="2" customFormat="1" ht="39.75" customHeight="1">
      <c r="A5" s="555" t="str">
        <f>'Orçamento Sintético'!A5:I5</f>
        <v>Construção da Praça no Povoado Honorato, no município de Barro Alto/BA</v>
      </c>
      <c r="B5" s="556"/>
      <c r="C5" s="556"/>
      <c r="D5" s="556"/>
      <c r="E5" s="556"/>
      <c r="F5" s="556"/>
      <c r="G5" s="557"/>
    </row>
    <row r="6" spans="1:9" ht="15">
      <c r="A6" s="10"/>
      <c r="B6" s="11"/>
      <c r="C6" s="12"/>
      <c r="D6" s="12"/>
      <c r="E6" s="12"/>
      <c r="F6" s="12"/>
      <c r="G6" s="13"/>
    </row>
    <row r="7" spans="1:9" ht="20.25">
      <c r="A7" s="558" t="s">
        <v>429</v>
      </c>
      <c r="B7" s="559"/>
      <c r="C7" s="559"/>
      <c r="D7" s="559"/>
      <c r="E7" s="559"/>
      <c r="F7" s="559"/>
      <c r="G7" s="560"/>
    </row>
    <row r="8" spans="1:9">
      <c r="A8" s="14"/>
      <c r="B8" s="15"/>
      <c r="C8" s="16"/>
      <c r="D8" s="16"/>
      <c r="E8" s="16"/>
      <c r="F8" s="16"/>
      <c r="G8" s="17"/>
    </row>
    <row r="9" spans="1:9" ht="12.75" customHeight="1">
      <c r="A9" s="561" t="s">
        <v>430</v>
      </c>
      <c r="B9" s="562" t="s">
        <v>431</v>
      </c>
      <c r="C9" s="562" t="s">
        <v>432</v>
      </c>
      <c r="D9" s="562" t="s">
        <v>433</v>
      </c>
      <c r="E9" s="562" t="s">
        <v>434</v>
      </c>
      <c r="F9" s="562" t="s">
        <v>435</v>
      </c>
      <c r="G9" s="566" t="s">
        <v>436</v>
      </c>
    </row>
    <row r="10" spans="1:9" ht="12.75" customHeight="1">
      <c r="A10" s="561"/>
      <c r="B10" s="562"/>
      <c r="C10" s="562"/>
      <c r="D10" s="562"/>
      <c r="E10" s="562"/>
      <c r="F10" s="562"/>
      <c r="G10" s="566"/>
    </row>
    <row r="11" spans="1:9" ht="15.75">
      <c r="A11" s="18">
        <f>'Orçamento Sintético'!A12</f>
        <v>1</v>
      </c>
      <c r="B11" s="19" t="str">
        <f>'Orçamento Sintético'!D12</f>
        <v>Serviços Preliminares</v>
      </c>
      <c r="C11" s="20">
        <f>'Orçamento Sintético'!I12</f>
        <v>37771.360000000001</v>
      </c>
      <c r="D11" s="21">
        <f>C11-G11-F11-E11</f>
        <v>14212.330000000002</v>
      </c>
      <c r="E11" s="21">
        <f>('Orçamento Sintético'!H14/4)+'Orçamento Sintético'!H17</f>
        <v>6827.39</v>
      </c>
      <c r="F11" s="21">
        <f>('Orçamento Sintético'!H14/4)+'Orçamento Sintético'!H17</f>
        <v>6827.39</v>
      </c>
      <c r="G11" s="22">
        <f>'Orçamento Sintético'!I16+'Orçamento Sintético'!H17+('Orçamento Sintético'!H14/4)</f>
        <v>9904.25</v>
      </c>
      <c r="H11" s="23">
        <f>SUM(D11:G11)</f>
        <v>37771.360000000001</v>
      </c>
      <c r="I11" s="23">
        <f>H11-C11</f>
        <v>0</v>
      </c>
    </row>
    <row r="12" spans="1:9" ht="15.75">
      <c r="A12" s="18"/>
      <c r="B12" s="19"/>
      <c r="C12" s="24"/>
      <c r="D12" s="25">
        <f t="shared" ref="D12:G12" si="0">D11/$C$11</f>
        <v>0.37627265737850057</v>
      </c>
      <c r="E12" s="25">
        <f t="shared" si="0"/>
        <v>0.1807557366216096</v>
      </c>
      <c r="F12" s="25">
        <f t="shared" si="0"/>
        <v>0.1807557366216096</v>
      </c>
      <c r="G12" s="26">
        <f t="shared" si="0"/>
        <v>0.26221586937828029</v>
      </c>
    </row>
    <row r="13" spans="1:9" ht="15.75">
      <c r="A13" s="18">
        <f>'Orçamento Sintético'!A19</f>
        <v>2</v>
      </c>
      <c r="B13" s="19" t="str">
        <f>'Orçamento Sintético'!D19</f>
        <v>Limpeza e Terraplanagem</v>
      </c>
      <c r="C13" s="20">
        <f>'Orçamento Sintético'!I19</f>
        <v>1120.93</v>
      </c>
      <c r="D13" s="21">
        <f>'Orçamento Sintético'!I20</f>
        <v>1120.93</v>
      </c>
      <c r="E13" s="21"/>
      <c r="F13" s="21"/>
      <c r="G13" s="22"/>
      <c r="H13" s="23">
        <f>SUM(D13:G13)</f>
        <v>1120.93</v>
      </c>
      <c r="I13" s="23">
        <f>H13-C13</f>
        <v>0</v>
      </c>
    </row>
    <row r="14" spans="1:9" ht="15.75">
      <c r="A14" s="18"/>
      <c r="B14" s="19"/>
      <c r="C14" s="20"/>
      <c r="D14" s="25">
        <f t="shared" ref="D14:G14" si="1">D13/$C$13</f>
        <v>1</v>
      </c>
      <c r="E14" s="25">
        <f t="shared" si="1"/>
        <v>0</v>
      </c>
      <c r="F14" s="25">
        <f t="shared" si="1"/>
        <v>0</v>
      </c>
      <c r="G14" s="26">
        <f t="shared" si="1"/>
        <v>0</v>
      </c>
    </row>
    <row r="15" spans="1:9" ht="15.75">
      <c r="A15" s="18">
        <f>'Orçamento Sintético'!A21</f>
        <v>3</v>
      </c>
      <c r="B15" s="19" t="str">
        <f>'Orçamento Sintético'!D21</f>
        <v>Pavimentação</v>
      </c>
      <c r="C15" s="20">
        <f>'Orçamento Sintético'!I21</f>
        <v>149983.75</v>
      </c>
      <c r="D15" s="21"/>
      <c r="E15" s="21">
        <f>('Orçamento Sintético'!I21-'Orçamento Sintético'!I24)/2</f>
        <v>69352.865000000005</v>
      </c>
      <c r="F15" s="21">
        <f>('Orçamento Sintético'!I21-'Orçamento Sintético'!I24)/2</f>
        <v>69352.865000000005</v>
      </c>
      <c r="G15" s="22">
        <f>'Orçamento Sintético'!I24</f>
        <v>11278.02</v>
      </c>
      <c r="H15" s="23">
        <f>SUM(D15:G15)</f>
        <v>149983.75</v>
      </c>
      <c r="I15" s="23">
        <f>H15-C15</f>
        <v>0</v>
      </c>
    </row>
    <row r="16" spans="1:9" ht="15.75">
      <c r="A16" s="18"/>
      <c r="B16" s="19"/>
      <c r="C16" s="27"/>
      <c r="D16" s="25">
        <f t="shared" ref="D16:G16" si="2">D15/$C$15</f>
        <v>0</v>
      </c>
      <c r="E16" s="25">
        <f t="shared" si="2"/>
        <v>0.46240252694041856</v>
      </c>
      <c r="F16" s="25">
        <f t="shared" si="2"/>
        <v>0.46240252694041856</v>
      </c>
      <c r="G16" s="26">
        <f t="shared" si="2"/>
        <v>7.5194946119162914E-2</v>
      </c>
    </row>
    <row r="17" spans="1:15" ht="15.75">
      <c r="A17" s="18">
        <f>'Orçamento Sintético'!A33</f>
        <v>4</v>
      </c>
      <c r="B17" s="19" t="str">
        <f>'Orçamento Sintético'!D33</f>
        <v>Paisagismo e acessórios</v>
      </c>
      <c r="C17" s="20">
        <f>'Orçamento Sintético'!I33</f>
        <v>40493.560000000005</v>
      </c>
      <c r="D17" s="21"/>
      <c r="E17" s="21"/>
      <c r="F17" s="21">
        <f>C17-G17</f>
        <v>1993.3300000000017</v>
      </c>
      <c r="G17" s="22">
        <f>'Orçamento Sintético'!I35+'Orçamento Sintético'!I36+'Orçamento Sintético'!I37+'Orçamento Sintético'!I38+'Orçamento Sintético'!I39+'Orçamento Sintético'!I40</f>
        <v>38500.230000000003</v>
      </c>
      <c r="H17" s="23">
        <f>SUM(D17:G17)</f>
        <v>40493.560000000005</v>
      </c>
      <c r="I17" s="23">
        <f>H17-C17</f>
        <v>0</v>
      </c>
    </row>
    <row r="18" spans="1:15" ht="15.75">
      <c r="A18" s="18"/>
      <c r="B18" s="19"/>
      <c r="C18" s="20"/>
      <c r="D18" s="25">
        <f>D17/$C$17</f>
        <v>0</v>
      </c>
      <c r="E18" s="25">
        <f t="shared" ref="E18:G18" si="3">E17/$C$17</f>
        <v>0</v>
      </c>
      <c r="F18" s="25">
        <f t="shared" si="3"/>
        <v>4.9225852209585953E-2</v>
      </c>
      <c r="G18" s="26">
        <f t="shared" si="3"/>
        <v>0.95077414779041403</v>
      </c>
      <c r="H18" s="23"/>
    </row>
    <row r="19" spans="1:15" ht="15.75">
      <c r="A19" s="18">
        <f>'Orçamento Sintético'!A46</f>
        <v>5</v>
      </c>
      <c r="B19" s="19" t="str">
        <f>'Orçamento Sintético'!D46</f>
        <v>Iluminação Pública</v>
      </c>
      <c r="C19" s="20">
        <f>'Orçamento Sintético'!I46</f>
        <v>72796.87</v>
      </c>
      <c r="D19" s="21">
        <f>'Orçamento Sintético'!I52+'Orçamento Sintético'!I53+'Orçamento Sintético'!I54+'Orçamento Sintético'!I51+'Orçamento Sintético'!I49</f>
        <v>10640.51</v>
      </c>
      <c r="E19" s="21">
        <f>C19-D19-F19-G19</f>
        <v>9013.2299999999959</v>
      </c>
      <c r="F19" s="21">
        <f>'Orçamento Sintético'!I47+'Orçamento Sintético'!I55</f>
        <v>50624.49</v>
      </c>
      <c r="G19" s="22">
        <f>'Orçamento Sintético'!I58</f>
        <v>2518.64</v>
      </c>
      <c r="H19" s="23">
        <f>SUM(D19:G19)</f>
        <v>72796.87</v>
      </c>
      <c r="I19" s="23">
        <f>H19-C19</f>
        <v>0</v>
      </c>
      <c r="N19" s="43">
        <v>44904</v>
      </c>
    </row>
    <row r="20" spans="1:15" ht="15.75">
      <c r="A20" s="18"/>
      <c r="B20" s="19"/>
      <c r="C20" s="27"/>
      <c r="D20" s="25">
        <f t="shared" ref="D20:G20" si="4">D19/$C$19</f>
        <v>0.14616713603208492</v>
      </c>
      <c r="E20" s="25">
        <f t="shared" si="4"/>
        <v>0.12381342769270158</v>
      </c>
      <c r="F20" s="25">
        <f t="shared" si="4"/>
        <v>0.69542124544640449</v>
      </c>
      <c r="G20" s="26">
        <f t="shared" si="4"/>
        <v>3.4598190828808988E-2</v>
      </c>
      <c r="N20" s="43">
        <f>N19+O20</f>
        <v>44964</v>
      </c>
      <c r="O20" s="3">
        <v>60</v>
      </c>
    </row>
    <row r="21" spans="1:15" ht="15.75">
      <c r="A21" s="18">
        <f>'Orçamento Sintético'!A59</f>
        <v>6</v>
      </c>
      <c r="B21" s="19" t="str">
        <f>'Orçamento Sintético'!D59</f>
        <v>Limpeza</v>
      </c>
      <c r="C21" s="20">
        <f>'Orçamento Sintético'!I59</f>
        <v>1201</v>
      </c>
      <c r="D21" s="21">
        <f>C21*0</f>
        <v>0</v>
      </c>
      <c r="E21" s="21"/>
      <c r="F21" s="21"/>
      <c r="G21" s="22">
        <f>C21</f>
        <v>1201</v>
      </c>
      <c r="H21" s="23">
        <f>SUM(D21:G21)</f>
        <v>1201</v>
      </c>
      <c r="I21" s="23">
        <f>H21-C21</f>
        <v>0</v>
      </c>
    </row>
    <row r="22" spans="1:15" ht="15.75">
      <c r="A22" s="18"/>
      <c r="B22" s="19"/>
      <c r="C22" s="27"/>
      <c r="D22" s="25">
        <f t="shared" ref="D22:G22" si="5">D21/$C$21</f>
        <v>0</v>
      </c>
      <c r="E22" s="25">
        <f t="shared" si="5"/>
        <v>0</v>
      </c>
      <c r="F22" s="25">
        <f t="shared" si="5"/>
        <v>0</v>
      </c>
      <c r="G22" s="26">
        <f t="shared" si="5"/>
        <v>1</v>
      </c>
    </row>
    <row r="23" spans="1:15" ht="15.75">
      <c r="A23" s="28"/>
      <c r="B23" s="29" t="s">
        <v>437</v>
      </c>
      <c r="C23" s="30">
        <f>C11+C13+C15+C17+C19+C21</f>
        <v>303367.46999999997</v>
      </c>
      <c r="D23" s="30">
        <f t="shared" ref="D23:G23" si="6">D11+D13+D15+D17+D19+D21</f>
        <v>25973.770000000004</v>
      </c>
      <c r="E23" s="30">
        <f t="shared" si="6"/>
        <v>85193.485000000001</v>
      </c>
      <c r="F23" s="30">
        <f t="shared" si="6"/>
        <v>128798.07500000001</v>
      </c>
      <c r="G23" s="31">
        <f t="shared" si="6"/>
        <v>63402.14</v>
      </c>
      <c r="H23" s="23">
        <f>SUM(D23:G23)</f>
        <v>303367.47000000003</v>
      </c>
      <c r="I23" s="23">
        <f>H23-C23</f>
        <v>0</v>
      </c>
    </row>
    <row r="24" spans="1:15" ht="15.75">
      <c r="A24" s="28"/>
      <c r="B24" s="29"/>
      <c r="C24" s="563"/>
      <c r="D24" s="32"/>
      <c r="E24" s="32"/>
      <c r="F24" s="32"/>
      <c r="G24" s="33"/>
    </row>
    <row r="25" spans="1:15" ht="15.75">
      <c r="A25" s="34"/>
      <c r="B25" s="35" t="s">
        <v>438</v>
      </c>
      <c r="C25" s="564"/>
      <c r="D25" s="25">
        <f>D23/C23</f>
        <v>8.5618177848798382E-2</v>
      </c>
      <c r="E25" s="25">
        <f>E23/$C$23</f>
        <v>0.28082603912673965</v>
      </c>
      <c r="F25" s="25">
        <f>F23/$C$23</f>
        <v>0.42456125899062291</v>
      </c>
      <c r="G25" s="26">
        <f>G23/$C$23</f>
        <v>0.20899452403383925</v>
      </c>
      <c r="H25" s="36">
        <f>SUM(D25:G25)</f>
        <v>1.0000000000000002</v>
      </c>
      <c r="I25" s="23">
        <f>H25-C25</f>
        <v>1.0000000000000002</v>
      </c>
    </row>
    <row r="26" spans="1:15" ht="15.75">
      <c r="A26" s="34"/>
      <c r="B26" s="35" t="s">
        <v>439</v>
      </c>
      <c r="C26" s="564"/>
      <c r="D26" s="37">
        <f>D23</f>
        <v>25973.770000000004</v>
      </c>
      <c r="E26" s="37">
        <f>D26+E23</f>
        <v>111167.255</v>
      </c>
      <c r="F26" s="37">
        <f t="shared" ref="F26:G26" si="7">E26+F23</f>
        <v>239965.33000000002</v>
      </c>
      <c r="G26" s="38">
        <f t="shared" si="7"/>
        <v>303367.47000000003</v>
      </c>
    </row>
    <row r="27" spans="1:15" ht="15.75">
      <c r="A27" s="34"/>
      <c r="B27" s="35" t="s">
        <v>440</v>
      </c>
      <c r="C27" s="565"/>
      <c r="D27" s="25">
        <f>D25</f>
        <v>8.5618177848798382E-2</v>
      </c>
      <c r="E27" s="25">
        <f>D27+E25</f>
        <v>0.36644421697553803</v>
      </c>
      <c r="F27" s="25">
        <f>E27+F25</f>
        <v>0.79100547596616089</v>
      </c>
      <c r="G27" s="26">
        <f>F27+G25</f>
        <v>1.0000000000000002</v>
      </c>
    </row>
    <row r="28" spans="1:15">
      <c r="A28" s="39"/>
      <c r="B28" s="40"/>
      <c r="C28" s="41"/>
      <c r="D28" s="41"/>
      <c r="E28" s="41"/>
      <c r="F28" s="41"/>
      <c r="G28" s="42"/>
    </row>
    <row r="29" spans="1:15">
      <c r="A29" s="6"/>
      <c r="B29" s="7"/>
      <c r="C29" s="8"/>
      <c r="D29" s="8"/>
      <c r="E29" s="8"/>
      <c r="F29" s="8"/>
      <c r="G29" s="9"/>
    </row>
    <row r="30" spans="1:15" ht="74.25" customHeight="1">
      <c r="A30" s="354" t="str">
        <f>'Orçamento Sintético'!A64:I64</f>
        <v>_______________________________________________________________
KAUÊ BRESSAN ANTUNES
Engenheiro Civil
ART: BA20220292693
CREA: 5063735828-SP</v>
      </c>
      <c r="B30" s="355"/>
      <c r="C30" s="355"/>
      <c r="D30" s="355"/>
      <c r="E30" s="355"/>
      <c r="F30" s="355"/>
      <c r="G30" s="356"/>
    </row>
  </sheetData>
  <mergeCells count="14">
    <mergeCell ref="A30:G30"/>
    <mergeCell ref="A9:A10"/>
    <mergeCell ref="B9:B10"/>
    <mergeCell ref="C9:C10"/>
    <mergeCell ref="C24:C27"/>
    <mergeCell ref="D9:D10"/>
    <mergeCell ref="E9:E10"/>
    <mergeCell ref="F9:F10"/>
    <mergeCell ref="G9:G10"/>
    <mergeCell ref="B1:G1"/>
    <mergeCell ref="B2:G2"/>
    <mergeCell ref="B3:G3"/>
    <mergeCell ref="A5:G5"/>
    <mergeCell ref="A7:G7"/>
  </mergeCells>
  <printOptions horizontalCentered="1" verticalCentered="1"/>
  <pageMargins left="0.51180555555555596" right="0.51180555555555596" top="1.4875" bottom="0.78680555555555598" header="0.31458333333333299" footer="0.31458333333333299"/>
  <pageSetup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Orçamento Sintético</vt:lpstr>
      <vt:lpstr>CPU 01 - SERVIÇOS PRELIMINARES</vt:lpstr>
      <vt:lpstr>CPU 02</vt:lpstr>
      <vt:lpstr>Mobilização</vt:lpstr>
      <vt:lpstr>Memória de Cálculo</vt:lpstr>
      <vt:lpstr>BDI</vt:lpstr>
      <vt:lpstr>ENC SOCIAIS</vt:lpstr>
      <vt:lpstr>Cronograma</vt:lpstr>
      <vt:lpstr>BDI!Area_de_impressao</vt:lpstr>
      <vt:lpstr>'CPU 01 - SERVIÇOS PRELIMINARES'!Area_de_impressao</vt:lpstr>
      <vt:lpstr>'CPU 02'!Area_de_impressao</vt:lpstr>
      <vt:lpstr>Cronograma!Area_de_impressao</vt:lpstr>
      <vt:lpstr>'ENC SOCIAIS'!Area_de_impressao</vt:lpstr>
      <vt:lpstr>'Memória de Cálculo'!Area_de_impressao</vt:lpstr>
      <vt:lpstr>'Orçamento Sintético'!Area_de_impressao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joao.machado</cp:lastModifiedBy>
  <cp:revision>0</cp:revision>
  <cp:lastPrinted>2022-12-06T18:15:00Z</cp:lastPrinted>
  <dcterms:created xsi:type="dcterms:W3CDTF">2022-11-26T18:18:00Z</dcterms:created>
  <dcterms:modified xsi:type="dcterms:W3CDTF">2022-12-07T20:09:06Z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DB4DBF0168AA4C0594C1EA4DD11363B2</vt:lpwstr>
  </property>
  <property fmtid="{D5CDD505-2E9C-101B-9397-08002B2CF9AE}" pid="3" name="KSOProductBuildVer">
    <vt:lpwstr>1046-11.2.0.11417</vt:lpwstr>
  </property>
</Properties>
</file>