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mbeddings/oleObject1.bin" ContentType="application/vnd.openxmlformats-officedocument.oleObject"/>
  <Override PartName="/xl/embeddings/oleObject2.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2160" windowHeight="1125"/>
  </bookViews>
  <sheets>
    <sheet name="Custo por trabalhador" sheetId="2" r:id="rId1"/>
    <sheet name="Resumo" sheetId="4" r:id="rId2"/>
    <sheet name="Moto" sheetId="5" r:id="rId3"/>
    <sheet name="Plan1" sheetId="6" r:id="rId4"/>
    <sheet name="Planilha de Custos" sheetId="3" r:id="rId5"/>
  </sheets>
  <definedNames>
    <definedName name="_xlnm.Print_Area" localSheetId="0">'Custo por trabalhador'!$A$1:$L$537</definedName>
  </definedNames>
  <calcPr calcId="124519" calcMode="manual" iterateDelta="1E-4"/>
</workbook>
</file>

<file path=xl/calcChain.xml><?xml version="1.0" encoding="utf-8"?>
<calcChain xmlns="http://schemas.openxmlformats.org/spreadsheetml/2006/main">
  <c r="F28" i="6"/>
  <c r="F27"/>
  <c r="F26"/>
  <c r="F25"/>
  <c r="F24"/>
  <c r="F23"/>
  <c r="F22"/>
  <c r="F21"/>
  <c r="F11"/>
  <c r="F10"/>
  <c r="F9"/>
  <c r="F8"/>
  <c r="F7"/>
  <c r="F6"/>
  <c r="F5"/>
  <c r="F4"/>
  <c r="C59" i="4" l="1"/>
  <c r="C58"/>
  <c r="I53"/>
  <c r="H53"/>
  <c r="H52"/>
  <c r="I52" s="1"/>
  <c r="I54" s="1"/>
  <c r="H50"/>
  <c r="I50" s="1"/>
  <c r="I49"/>
  <c r="H49"/>
  <c r="H51" s="1"/>
  <c r="I47"/>
  <c r="H47"/>
  <c r="H46"/>
  <c r="I46" s="1"/>
  <c r="I48" s="1"/>
  <c r="H44"/>
  <c r="I44" s="1"/>
  <c r="I43"/>
  <c r="H43"/>
  <c r="H45" s="1"/>
  <c r="I41"/>
  <c r="H41"/>
  <c r="H40"/>
  <c r="I40" s="1"/>
  <c r="I42" s="1"/>
  <c r="H38"/>
  <c r="I38" s="1"/>
  <c r="I37"/>
  <c r="H37"/>
  <c r="H39" s="1"/>
  <c r="I35"/>
  <c r="H35"/>
  <c r="H34"/>
  <c r="I34" s="1"/>
  <c r="I36" s="1"/>
  <c r="H32"/>
  <c r="I32" s="1"/>
  <c r="I31"/>
  <c r="H31"/>
  <c r="H33" s="1"/>
  <c r="I29"/>
  <c r="H29"/>
  <c r="H28"/>
  <c r="I28" s="1"/>
  <c r="I30" s="1"/>
  <c r="I39" l="1"/>
  <c r="I51"/>
  <c r="I55" s="1"/>
  <c r="I33"/>
  <c r="I45"/>
  <c r="H30"/>
  <c r="H36"/>
  <c r="H42"/>
  <c r="H48"/>
  <c r="H54"/>
  <c r="H55" l="1"/>
  <c r="G436" i="2" l="1"/>
  <c r="F436" s="1"/>
  <c r="F459" l="1"/>
  <c r="G459" s="1"/>
  <c r="F469"/>
  <c r="G469" s="1"/>
  <c r="F468"/>
  <c r="G468" s="1"/>
  <c r="F467"/>
  <c r="G467" s="1"/>
  <c r="F466"/>
  <c r="G466" s="1"/>
  <c r="F465"/>
  <c r="G465" s="1"/>
  <c r="F464"/>
  <c r="G464" s="1"/>
  <c r="F463"/>
  <c r="G463" s="1"/>
  <c r="F462"/>
  <c r="G462" s="1"/>
  <c r="F461"/>
  <c r="G461" s="1"/>
  <c r="F460"/>
  <c r="G460" s="1"/>
  <c r="F458"/>
  <c r="G458" s="1"/>
  <c r="F457"/>
  <c r="G457" s="1"/>
  <c r="F456"/>
  <c r="G456" s="1"/>
  <c r="F455"/>
  <c r="G455" s="1"/>
  <c r="F454"/>
  <c r="G454" s="1"/>
  <c r="F453"/>
  <c r="G453" s="1"/>
  <c r="F452"/>
  <c r="G452" s="1"/>
  <c r="E452"/>
  <c r="H38" i="5"/>
  <c r="I19"/>
  <c r="E429" i="2"/>
  <c r="G429"/>
  <c r="F429" s="1"/>
  <c r="E430"/>
  <c r="G430"/>
  <c r="F430" s="1"/>
  <c r="E431"/>
  <c r="G431"/>
  <c r="F431" s="1"/>
  <c r="E432"/>
  <c r="G432"/>
  <c r="F432" s="1"/>
  <c r="E433"/>
  <c r="G433"/>
  <c r="F433" s="1"/>
  <c r="E434"/>
  <c r="G434"/>
  <c r="F434" s="1"/>
  <c r="E435"/>
  <c r="G435"/>
  <c r="F435" s="1"/>
  <c r="E436"/>
  <c r="E437"/>
  <c r="G437"/>
  <c r="F437" s="1"/>
  <c r="E438"/>
  <c r="G438"/>
  <c r="F438" s="1"/>
  <c r="E439"/>
  <c r="G439"/>
  <c r="F439" s="1"/>
  <c r="E440"/>
  <c r="G440"/>
  <c r="F440" s="1"/>
  <c r="E441"/>
  <c r="G441"/>
  <c r="F441" s="1"/>
  <c r="E442"/>
  <c r="G442"/>
  <c r="F442" s="1"/>
  <c r="I23" i="5" l="1"/>
  <c r="F448" i="2"/>
  <c r="G448"/>
  <c r="B146" l="1"/>
  <c r="C112"/>
  <c r="C45" i="5" l="1"/>
  <c r="F51" l="1"/>
  <c r="C38"/>
  <c r="I26" s="1"/>
  <c r="H45"/>
  <c r="I27"/>
  <c r="I28" l="1"/>
  <c r="I29" s="1"/>
  <c r="I31" s="1"/>
  <c r="B470" i="2" s="1"/>
  <c r="F470" s="1"/>
  <c r="F471" l="1"/>
  <c r="G470"/>
  <c r="B475"/>
  <c r="C475" s="1"/>
  <c r="D475" s="1"/>
  <c r="H222"/>
  <c r="H220"/>
  <c r="D210"/>
  <c r="G222" s="1"/>
  <c r="D209"/>
  <c r="G221" s="1"/>
  <c r="D208"/>
  <c r="G220" s="1"/>
  <c r="D207"/>
  <c r="G219" s="1"/>
  <c r="B476" l="1"/>
  <c r="C476" s="1"/>
  <c r="D476" s="1"/>
  <c r="C76" l="1"/>
  <c r="B139" l="1"/>
  <c r="B58" l="1"/>
  <c r="B60"/>
  <c r="B59"/>
  <c r="B20"/>
  <c r="B29"/>
  <c r="B28"/>
  <c r="F219" l="1"/>
  <c r="E219"/>
  <c r="D219"/>
  <c r="D526" l="1"/>
  <c r="C526"/>
  <c r="B526"/>
  <c r="C503"/>
  <c r="C502"/>
  <c r="C501"/>
  <c r="C500"/>
  <c r="E470"/>
  <c r="E469"/>
  <c r="E468"/>
  <c r="E467"/>
  <c r="E466"/>
  <c r="E465"/>
  <c r="E464"/>
  <c r="E463"/>
  <c r="E462"/>
  <c r="E461"/>
  <c r="E460"/>
  <c r="E459"/>
  <c r="E458"/>
  <c r="E457"/>
  <c r="E456"/>
  <c r="E455"/>
  <c r="E454"/>
  <c r="E453"/>
  <c r="C422"/>
  <c r="D415"/>
  <c r="D414"/>
  <c r="D413"/>
  <c r="D412"/>
  <c r="D411"/>
  <c r="D410"/>
  <c r="D409"/>
  <c r="D408"/>
  <c r="D407"/>
  <c r="C380"/>
  <c r="C381" s="1"/>
  <c r="C382" s="1"/>
  <c r="C364"/>
  <c r="C365" s="1"/>
  <c r="C366" s="1"/>
  <c r="K341"/>
  <c r="E341"/>
  <c r="K340"/>
  <c r="D357" s="1"/>
  <c r="E340"/>
  <c r="I339"/>
  <c r="K339" s="1"/>
  <c r="D356" s="1"/>
  <c r="E339"/>
  <c r="B356" s="1"/>
  <c r="I338"/>
  <c r="E338"/>
  <c r="B355" s="1"/>
  <c r="K337"/>
  <c r="D354" s="1"/>
  <c r="E337"/>
  <c r="K336"/>
  <c r="D353" s="1"/>
  <c r="E336"/>
  <c r="C353" s="1"/>
  <c r="K335"/>
  <c r="D352" s="1"/>
  <c r="E335"/>
  <c r="B352" s="1"/>
  <c r="I334"/>
  <c r="K334" s="1"/>
  <c r="D351" s="1"/>
  <c r="E334"/>
  <c r="B351" s="1"/>
  <c r="K333"/>
  <c r="D350" s="1"/>
  <c r="E333"/>
  <c r="I332"/>
  <c r="K332" s="1"/>
  <c r="D349" s="1"/>
  <c r="E332"/>
  <c r="I331"/>
  <c r="K331" s="1"/>
  <c r="D348" s="1"/>
  <c r="E331"/>
  <c r="B348" s="1"/>
  <c r="K330"/>
  <c r="D347" s="1"/>
  <c r="E330"/>
  <c r="C347" s="1"/>
  <c r="I329"/>
  <c r="E329"/>
  <c r="C346" s="1"/>
  <c r="C311"/>
  <c r="C310"/>
  <c r="C309"/>
  <c r="C308"/>
  <c r="C254"/>
  <c r="C255" s="1"/>
  <c r="C256" s="1"/>
  <c r="B243"/>
  <c r="B242"/>
  <c r="F222"/>
  <c r="E222"/>
  <c r="D222"/>
  <c r="F221"/>
  <c r="E221"/>
  <c r="D221"/>
  <c r="F220"/>
  <c r="E220"/>
  <c r="D220"/>
  <c r="C168"/>
  <c r="C169" s="1"/>
  <c r="C170" s="1"/>
  <c r="C163"/>
  <c r="C162"/>
  <c r="C161"/>
  <c r="B161"/>
  <c r="B162" s="1"/>
  <c r="B163" s="1"/>
  <c r="C160"/>
  <c r="D160" s="1"/>
  <c r="B167" s="1"/>
  <c r="B147"/>
  <c r="E147" s="1"/>
  <c r="C154" s="1"/>
  <c r="E146"/>
  <c r="C153" s="1"/>
  <c r="B145"/>
  <c r="E145" s="1"/>
  <c r="C152" s="1"/>
  <c r="B144"/>
  <c r="C138"/>
  <c r="C140" s="1"/>
  <c r="B138"/>
  <c r="E137"/>
  <c r="B151" s="1"/>
  <c r="C122"/>
  <c r="C121"/>
  <c r="C120"/>
  <c r="C119"/>
  <c r="C115"/>
  <c r="C114"/>
  <c r="C113"/>
  <c r="B108"/>
  <c r="D86"/>
  <c r="D85"/>
  <c r="D84"/>
  <c r="D83"/>
  <c r="C79"/>
  <c r="C78"/>
  <c r="C77"/>
  <c r="C72"/>
  <c r="C71"/>
  <c r="C70"/>
  <c r="C69"/>
  <c r="B61"/>
  <c r="D44"/>
  <c r="C44"/>
  <c r="D43"/>
  <c r="C43"/>
  <c r="C40"/>
  <c r="C39"/>
  <c r="C29"/>
  <c r="C30" s="1"/>
  <c r="C31" s="1"/>
  <c r="D28"/>
  <c r="D58" s="1"/>
  <c r="B21"/>
  <c r="D20"/>
  <c r="K329" l="1"/>
  <c r="D346" s="1"/>
  <c r="K338"/>
  <c r="D355" s="1"/>
  <c r="G471"/>
  <c r="C486"/>
  <c r="E144"/>
  <c r="C151" s="1"/>
  <c r="D151" s="1"/>
  <c r="B219" s="1"/>
  <c r="C348"/>
  <c r="C269"/>
  <c r="C355"/>
  <c r="C270"/>
  <c r="C351"/>
  <c r="C356"/>
  <c r="C268"/>
  <c r="D21"/>
  <c r="C60" s="1"/>
  <c r="B31"/>
  <c r="D31" s="1"/>
  <c r="D61" s="1"/>
  <c r="B30"/>
  <c r="D30" s="1"/>
  <c r="B40" s="1"/>
  <c r="E139"/>
  <c r="B153" s="1"/>
  <c r="D153" s="1"/>
  <c r="B221" s="1"/>
  <c r="D29"/>
  <c r="E138"/>
  <c r="B152" s="1"/>
  <c r="D152" s="1"/>
  <c r="B220" s="1"/>
  <c r="B346"/>
  <c r="D161"/>
  <c r="B175" s="1"/>
  <c r="D162"/>
  <c r="C354"/>
  <c r="B354"/>
  <c r="C357"/>
  <c r="B357"/>
  <c r="B174"/>
  <c r="D167"/>
  <c r="C174" s="1"/>
  <c r="C291"/>
  <c r="C349"/>
  <c r="B349"/>
  <c r="B347"/>
  <c r="C294"/>
  <c r="C293"/>
  <c r="C292"/>
  <c r="D416"/>
  <c r="C59"/>
  <c r="C58"/>
  <c r="K58" s="1"/>
  <c r="B246"/>
  <c r="B350"/>
  <c r="C350"/>
  <c r="C352"/>
  <c r="B353"/>
  <c r="C267"/>
  <c r="B140"/>
  <c r="E140" s="1"/>
  <c r="B154" s="1"/>
  <c r="D154" s="1"/>
  <c r="B222" s="1"/>
  <c r="B477" l="1"/>
  <c r="C477" s="1"/>
  <c r="D477" s="1"/>
  <c r="C488" s="1"/>
  <c r="D358"/>
  <c r="B39"/>
  <c r="B43"/>
  <c r="B520"/>
  <c r="B83"/>
  <c r="E83" s="1"/>
  <c r="D90" s="1"/>
  <c r="B478"/>
  <c r="C478" s="1"/>
  <c r="D478" s="1"/>
  <c r="C489" s="1"/>
  <c r="E40"/>
  <c r="B49" s="1"/>
  <c r="C358"/>
  <c r="C374" s="1"/>
  <c r="C487"/>
  <c r="B358"/>
  <c r="D60"/>
  <c r="K60" s="1"/>
  <c r="B85" s="1"/>
  <c r="B44"/>
  <c r="B76"/>
  <c r="D76" s="1"/>
  <c r="C301" s="1"/>
  <c r="B69"/>
  <c r="D69" s="1"/>
  <c r="B301" s="1"/>
  <c r="D59"/>
  <c r="C61"/>
  <c r="B168"/>
  <c r="D168" s="1"/>
  <c r="C175" s="1"/>
  <c r="D175" s="1"/>
  <c r="C220" s="1"/>
  <c r="I220" s="1"/>
  <c r="D174"/>
  <c r="C219" s="1"/>
  <c r="I219" s="1"/>
  <c r="D163"/>
  <c r="B420"/>
  <c r="C420" s="1"/>
  <c r="B486" s="1"/>
  <c r="B423"/>
  <c r="C423" s="1"/>
  <c r="B488" s="1"/>
  <c r="B424"/>
  <c r="C424" s="1"/>
  <c r="B489" s="1"/>
  <c r="B421"/>
  <c r="C421" s="1"/>
  <c r="B487" s="1"/>
  <c r="B169"/>
  <c r="D169" s="1"/>
  <c r="C176" s="1"/>
  <c r="B176"/>
  <c r="C373" l="1"/>
  <c r="C371"/>
  <c r="D301"/>
  <c r="E301" s="1"/>
  <c r="B308" s="1"/>
  <c r="D308" s="1"/>
  <c r="D317" s="1"/>
  <c r="D486"/>
  <c r="B524" s="1"/>
  <c r="E39"/>
  <c r="B48" s="1"/>
  <c r="E43"/>
  <c r="C48" s="1"/>
  <c r="E44"/>
  <c r="C49" s="1"/>
  <c r="D49" s="1"/>
  <c r="E61" s="1"/>
  <c r="K61" s="1"/>
  <c r="B86" s="1"/>
  <c r="D229"/>
  <c r="D520"/>
  <c r="E85"/>
  <c r="D92" s="1"/>
  <c r="C372"/>
  <c r="D488"/>
  <c r="D524" s="1"/>
  <c r="D489"/>
  <c r="E524" s="1"/>
  <c r="D487"/>
  <c r="C524" s="1"/>
  <c r="B90"/>
  <c r="B71"/>
  <c r="D71" s="1"/>
  <c r="B78"/>
  <c r="D78" s="1"/>
  <c r="C303" s="1"/>
  <c r="D176"/>
  <c r="C221" s="1"/>
  <c r="C90"/>
  <c r="B177"/>
  <c r="B170"/>
  <c r="D170" s="1"/>
  <c r="C177" s="1"/>
  <c r="E90" l="1"/>
  <c r="D48"/>
  <c r="E59" s="1"/>
  <c r="K59" s="1"/>
  <c r="I221"/>
  <c r="D230" s="1"/>
  <c r="E520"/>
  <c r="E86"/>
  <c r="D304" s="1"/>
  <c r="D303"/>
  <c r="B79"/>
  <c r="D79" s="1"/>
  <c r="C304" s="1"/>
  <c r="B72"/>
  <c r="D72" s="1"/>
  <c r="B93" s="1"/>
  <c r="B92"/>
  <c r="B303"/>
  <c r="C92"/>
  <c r="D177"/>
  <c r="C222" s="1"/>
  <c r="I222" s="1"/>
  <c r="B84" l="1"/>
  <c r="E84" s="1"/>
  <c r="B228"/>
  <c r="B112"/>
  <c r="D112" s="1"/>
  <c r="B126" s="1"/>
  <c r="B77"/>
  <c r="D77" s="1"/>
  <c r="C302" s="1"/>
  <c r="B70"/>
  <c r="D70" s="1"/>
  <c r="B302" s="1"/>
  <c r="C520"/>
  <c r="D93"/>
  <c r="E303"/>
  <c r="B310" s="1"/>
  <c r="D310" s="1"/>
  <c r="D319" s="1"/>
  <c r="B304"/>
  <c r="E304" s="1"/>
  <c r="B311" s="1"/>
  <c r="D311" s="1"/>
  <c r="D320" s="1"/>
  <c r="C93"/>
  <c r="E92"/>
  <c r="B119"/>
  <c r="D119" s="1"/>
  <c r="D302" l="1"/>
  <c r="E302" s="1"/>
  <c r="B309" s="1"/>
  <c r="D309" s="1"/>
  <c r="D318" s="1"/>
  <c r="D91"/>
  <c r="C126"/>
  <c r="D126" s="1"/>
  <c r="C228" s="1"/>
  <c r="B260"/>
  <c r="D260" s="1"/>
  <c r="C91"/>
  <c r="B91"/>
  <c r="E93"/>
  <c r="B122" s="1"/>
  <c r="D122" s="1"/>
  <c r="B121"/>
  <c r="D121" s="1"/>
  <c r="B230"/>
  <c r="B114"/>
  <c r="D114" s="1"/>
  <c r="B128" s="1"/>
  <c r="B284"/>
  <c r="D284" s="1"/>
  <c r="E91" l="1"/>
  <c r="B120" s="1"/>
  <c r="D120" s="1"/>
  <c r="B261" s="1"/>
  <c r="D261" s="1"/>
  <c r="B231"/>
  <c r="B115"/>
  <c r="D231"/>
  <c r="C128"/>
  <c r="D128" s="1"/>
  <c r="C230" s="1"/>
  <c r="E230" s="1"/>
  <c r="B255" s="1"/>
  <c r="B286"/>
  <c r="D286" s="1"/>
  <c r="B262"/>
  <c r="D262" s="1"/>
  <c r="B287"/>
  <c r="D287" s="1"/>
  <c r="B263"/>
  <c r="D263" s="1"/>
  <c r="C129"/>
  <c r="C127" l="1"/>
  <c r="B285"/>
  <c r="D285" s="1"/>
  <c r="B113"/>
  <c r="D113" s="1"/>
  <c r="B127" s="1"/>
  <c r="D127" s="1"/>
  <c r="C229" s="1"/>
  <c r="E229" s="1"/>
  <c r="B254" s="1"/>
  <c r="D254" s="1"/>
  <c r="B229"/>
  <c r="D115"/>
  <c r="B129" s="1"/>
  <c r="D129" s="1"/>
  <c r="C231" s="1"/>
  <c r="E231" s="1"/>
  <c r="B256" s="1"/>
  <c r="D256" s="1"/>
  <c r="D521"/>
  <c r="D255"/>
  <c r="B279"/>
  <c r="D279" s="1"/>
  <c r="B293" s="1"/>
  <c r="D293" s="1"/>
  <c r="C319" s="1"/>
  <c r="B268" l="1"/>
  <c r="D268" s="1"/>
  <c r="B318" s="1"/>
  <c r="B269"/>
  <c r="D269" s="1"/>
  <c r="B319" s="1"/>
  <c r="E319" s="1"/>
  <c r="B270"/>
  <c r="D270" s="1"/>
  <c r="B320" s="1"/>
  <c r="B280"/>
  <c r="D280" s="1"/>
  <c r="B294" s="1"/>
  <c r="D294" s="1"/>
  <c r="C320" s="1"/>
  <c r="E521"/>
  <c r="C521"/>
  <c r="B278"/>
  <c r="D278" s="1"/>
  <c r="B292" s="1"/>
  <c r="D292" s="1"/>
  <c r="C318" s="1"/>
  <c r="E320" l="1"/>
  <c r="B382" s="1"/>
  <c r="D382" s="1"/>
  <c r="B390" s="1"/>
  <c r="D390" s="1"/>
  <c r="E318"/>
  <c r="B380" s="1"/>
  <c r="D380" s="1"/>
  <c r="B387" s="1"/>
  <c r="D387" s="1"/>
  <c r="D522"/>
  <c r="B381"/>
  <c r="D381" s="1"/>
  <c r="B389" s="1"/>
  <c r="D389" s="1"/>
  <c r="B365"/>
  <c r="D365" s="1"/>
  <c r="B373" s="1"/>
  <c r="D373" s="1"/>
  <c r="E373" s="1"/>
  <c r="B398" s="1"/>
  <c r="E522" l="1"/>
  <c r="B366"/>
  <c r="D366" s="1"/>
  <c r="B374" s="1"/>
  <c r="D374" s="1"/>
  <c r="E374" s="1"/>
  <c r="B399" s="1"/>
  <c r="C522"/>
  <c r="B364"/>
  <c r="D364" s="1"/>
  <c r="B372" s="1"/>
  <c r="D372" s="1"/>
  <c r="E372" s="1"/>
  <c r="B396" s="1"/>
  <c r="C399"/>
  <c r="C396"/>
  <c r="D396" l="1"/>
  <c r="B501" s="1"/>
  <c r="D501" s="1"/>
  <c r="C525" s="1"/>
  <c r="D399"/>
  <c r="B503" s="1"/>
  <c r="D503" s="1"/>
  <c r="E525" s="1"/>
  <c r="C523" l="1"/>
  <c r="C527" s="1"/>
  <c r="E523"/>
  <c r="E527" s="1"/>
  <c r="C19" i="4" l="1"/>
  <c r="D19" s="1"/>
  <c r="E19" s="1"/>
  <c r="F19" s="1"/>
  <c r="E532" i="2"/>
  <c r="C21" i="4"/>
  <c r="D21" s="1"/>
  <c r="E21" s="1"/>
  <c r="F21" s="1"/>
  <c r="E534" i="2"/>
  <c r="E528"/>
  <c r="F534" s="1"/>
  <c r="G534" s="1"/>
  <c r="C528"/>
  <c r="F532" s="1"/>
  <c r="G532" s="1"/>
  <c r="D228" l="1"/>
  <c r="E228" s="1"/>
  <c r="B253" l="1"/>
  <c r="B521"/>
  <c r="B277"/>
  <c r="D277" s="1"/>
  <c r="B291" s="1"/>
  <c r="D291" s="1"/>
  <c r="C317" s="1"/>
  <c r="D253" l="1"/>
  <c r="B267" l="1"/>
  <c r="D267" s="1"/>
  <c r="B317" s="1"/>
  <c r="E317" s="1"/>
  <c r="B363" l="1"/>
  <c r="D363" s="1"/>
  <c r="B371" s="1"/>
  <c r="B522"/>
  <c r="B379"/>
  <c r="D379" s="1"/>
  <c r="B386" s="1"/>
  <c r="D386" s="1"/>
  <c r="C398" s="1"/>
  <c r="D398" s="1"/>
  <c r="C395" l="1"/>
  <c r="D371"/>
  <c r="E371" s="1"/>
  <c r="B395" s="1"/>
  <c r="D523"/>
  <c r="B502"/>
  <c r="D502" s="1"/>
  <c r="D525" s="1"/>
  <c r="D395" l="1"/>
  <c r="D527"/>
  <c r="E533" s="1"/>
  <c r="B500" l="1"/>
  <c r="D500" s="1"/>
  <c r="B525" s="1"/>
  <c r="B523"/>
  <c r="C20" i="4"/>
  <c r="D20" s="1"/>
  <c r="E20" s="1"/>
  <c r="F20" s="1"/>
  <c r="D528" i="2"/>
  <c r="F533" s="1"/>
  <c r="G533" s="1"/>
  <c r="B527" l="1"/>
  <c r="C18" i="4" l="1"/>
  <c r="D18" s="1"/>
  <c r="E18" s="1"/>
  <c r="F18" s="1"/>
  <c r="F22" s="1"/>
  <c r="E531" i="2"/>
  <c r="B528"/>
  <c r="F531" s="1"/>
  <c r="G531" l="1"/>
  <c r="F536" s="1"/>
  <c r="F535"/>
  <c r="E22" i="4"/>
</calcChain>
</file>

<file path=xl/sharedStrings.xml><?xml version="1.0" encoding="utf-8"?>
<sst xmlns="http://schemas.openxmlformats.org/spreadsheetml/2006/main" count="1001" uniqueCount="481">
  <si>
    <t>PLANILHA DE CUSTOS E FORMAÇÃO DE PREÇOS</t>
  </si>
  <si>
    <t xml:space="preserve">MODELO DE FORMAÇÃO DE CUSTO MENSAL PARA UM EMPREGADO </t>
  </si>
  <si>
    <t>* A planilha de custos e formação de preços é ferramenta de apoio à realização de estimativas da contratação e para a análise das propostas na fase de pregão e nas prorrogações contratuais.
* O modelo disponibilizado na Instrução Normativa n° 5, de 26 de maio de 2017, é inspiracional, devendo ser adaptado pelo órgão ou entidade contratante às suas necessidades.
* A presente proposta visa, tão somente, auxiliar aos órgão que não possuam um modelo definido na formatação dos cálculos de direitos trabalhistas para estimativas de contratos de prestação de serviços, observando as disposições da Consolidação das Leis do Trabalho - CLT e das Convenções Coletivas de Trabalho - CCT (sendo válidos, ainda, os acordos e dissídios coletivos).
* É responsábilidade do usuário que optar pela utilização deste modelo a conferência das fórmulas automatizadas em conformidade com as dispoções de CLT e CCT, para minimizar o risco de equívocos no cômputo das previsões financeiras.
* Dúvidas sobre a metodologia de cálculo poderão ser esclarecidas com a leitura dos Cadernos Técnicos de divulgação de valores limites em: https://www.comprasgovernamentais.gov.br/index.php/cadernos-tecnicos-e-valores-limites.</t>
  </si>
  <si>
    <t>MÓDULO 1 - REMUNERAÇÃO</t>
  </si>
  <si>
    <t>* A remuneração é definida no art. 457 da Consolidação das Leis do Trabalho. 
* É composta por Salário Base, Adicionais (noturno, de insalubridade ou periculosidade) e gratificações, quando houver.</t>
  </si>
  <si>
    <t>SALÁRIO BASE</t>
  </si>
  <si>
    <t>* O Salário Base vem definido na Convenção Coletiva de Trabalho da categoria profissional a ser contratada para o objeto da prestação de serviço. 
* O contratante deverá observar se a CCT abrange o município de prestação de serviço e se está vigente.</t>
  </si>
  <si>
    <t>Vigilante (12x36h e 44h)</t>
  </si>
  <si>
    <t>Vigilante/Cond de veículos (12x36h e 44h)</t>
  </si>
  <si>
    <t>GRATIFICAÇÃO DE FUNÇÃO</t>
  </si>
  <si>
    <t>* Gratificação de função, quando houver, virá informada na Convenção Coletiva de Trabalho da categoria profissional a ser contratada. 
* O órgão contrantante deverá observar, além da existência de gratificação, se esta incidirá sobre os adicionais, devendo adaptar a planilha ao caso em concreto.
*  Para o presente modelo foi considerada gratificação como percentual sobre o salário base e sem incidência sobre os adicionais (noturno, periculosidade ou insalubridade).</t>
  </si>
  <si>
    <t>Categoria</t>
  </si>
  <si>
    <t>Base de cálculo</t>
  </si>
  <si>
    <t>Percentual</t>
  </si>
  <si>
    <t>Valor da Gratificação</t>
  </si>
  <si>
    <t>Vigilante (12x36h)</t>
  </si>
  <si>
    <t>Vigilante/Cond de veículos (12x36h )</t>
  </si>
  <si>
    <t>ADICIONAIS (periculosidade ou insalubridade, se houver)</t>
  </si>
  <si>
    <t xml:space="preserve">* Os adicionais de periculosidade ou insalubridade, em conformidade com os art. 192 e 193 da CLT, dependem da natureza do serviço a ser prestado. 
* O órgão contrantante deverá observar, além da existência de previsão em CLT, se há informações na Convenção Coletiva de Trabalho acerca dos adicionais, bem como seu percentual e a base de cálculo, devendo adaptar a planilha ao caso em concreto. </t>
  </si>
  <si>
    <t>ADICIONAL DE PERICULOSIDADE</t>
  </si>
  <si>
    <t>Valor</t>
  </si>
  <si>
    <t>Vigilante (12x36 Diurno)</t>
  </si>
  <si>
    <t>vigilante (12x36 Noturno)</t>
  </si>
  <si>
    <t xml:space="preserve">Vigilante / Cond veículos motorizados diurno </t>
  </si>
  <si>
    <t xml:space="preserve">Vigilante / Cond veículos motorizados noturno </t>
  </si>
  <si>
    <t>ADICIONAL NOTURNO</t>
  </si>
  <si>
    <t xml:space="preserve">* O Adicional Noturno e a Hora Noturna Reduzida, conforme art. 73 da CLT, serão pagos entre 22h e 5h do dia seguinte, sem prorrogação quando da jornada 12x36h.
* O órgão contrantante deverá observar, além da existência do previsto em CLT, se há informações na Convenção Coletiva de Trabalho acerca da existência do percentual de adicional noturno, bem como se haverá pagamento de hora noturna reduzida e adaptar a planilha ao caso em concreto. </t>
  </si>
  <si>
    <t>Base de Cálculo</t>
  </si>
  <si>
    <t>Proporção</t>
  </si>
  <si>
    <t>Vigilante (12x36h )</t>
  </si>
  <si>
    <t>HORA NOTURNA REDUZIDA</t>
  </si>
  <si>
    <t>ADICIONAL POR TRABALHO NOTURNO</t>
  </si>
  <si>
    <t>Adicional Noturno</t>
  </si>
  <si>
    <t>Hora Noturna
Reduzida</t>
  </si>
  <si>
    <t>Vigilante (12x36h ) Noturno</t>
  </si>
  <si>
    <t>Vigilante/Cond de veículos  (12x36 Noturno)</t>
  </si>
  <si>
    <t>Cargo A (12x36 Diurno)</t>
  </si>
  <si>
    <t>Cargo A (12x36 Noturno)</t>
  </si>
  <si>
    <t>Cargo B (12x36 Diurno)</t>
  </si>
  <si>
    <t>Cargo B (12x36 Noturno)</t>
  </si>
  <si>
    <t>Este quadro totaliza a remuneração devida ao trabalhador, conforme previsão da Consolidação das Leis do Trabalho e valores disponíveis na Convenção Coletiva para a categoria</t>
  </si>
  <si>
    <t>Salário Base</t>
  </si>
  <si>
    <t>Gratificação de função</t>
  </si>
  <si>
    <t>Adicional de Periculosidade ou Insalubridade</t>
  </si>
  <si>
    <t>Total</t>
  </si>
  <si>
    <t>Vigilante (12x36h ) Diurno</t>
  </si>
  <si>
    <t>Vigilante/Cond de veículos(12x36 Diurno)</t>
  </si>
  <si>
    <t>Vigilante/Cond de veículos (12x36 Noturno)</t>
  </si>
  <si>
    <t>MÓDULO 2 - ENCARGOS E BENEFÍCIOS (ANUAIS, MENSAIS E DIÁRIOS)</t>
  </si>
  <si>
    <t>SUBMÓDULO 2.1 – 13° SALÁRIO, FÉRIAS E ADICIONAL DE FÉRIAS</t>
  </si>
  <si>
    <t>13° SALÁRIO
Previsto no Decreto 57.155, de 1965.</t>
  </si>
  <si>
    <t>Provisionamento Mensal</t>
  </si>
  <si>
    <t>Vigilante  (12x36 Noturno)</t>
  </si>
  <si>
    <t>Vigilante/Cond de veículos (12x36 Diurno)</t>
  </si>
  <si>
    <t>Vigilante/Cond de veículos(12x36 Noturno)</t>
  </si>
  <si>
    <t>FÉRIAS
Previsto no art. 7° da Constituição Federal</t>
  </si>
  <si>
    <t>Vigilante(12x36 Diurno)</t>
  </si>
  <si>
    <t>Vigilante (12x36 Noturno)</t>
  </si>
  <si>
    <t>ADICIONAL DE FÉRIAS - 1/3 CONSTITUCIONAL</t>
  </si>
  <si>
    <t>Alíquota Adicional</t>
  </si>
  <si>
    <t>13° Salário</t>
  </si>
  <si>
    <t xml:space="preserve">Férias </t>
  </si>
  <si>
    <t>1/3 Constitucional</t>
  </si>
  <si>
    <t>SUBMÓDULO 2.2 - ENCARGOS PREVIDENCIÁRIOS E FGTS</t>
  </si>
  <si>
    <t>* Previsto no art. 195 da Constituição Federal. 
* Os percentuais informados não são taxativos e deverão observar o enquadramento real das empresas prestadoras de serviço, em especial no que diz respeito ao SAT-GIIL/RAT.</t>
  </si>
  <si>
    <t>COMPOSIÇÃO DO GPS E FGTS</t>
  </si>
  <si>
    <t>Encargos</t>
  </si>
  <si>
    <t>INSS - empregador</t>
  </si>
  <si>
    <t>Salário-Educação</t>
  </si>
  <si>
    <t>SAT- GIL/RAT</t>
  </si>
  <si>
    <t>SESC</t>
  </si>
  <si>
    <t>SENAC</t>
  </si>
  <si>
    <t>SEBRAE</t>
  </si>
  <si>
    <t>INCRA</t>
  </si>
  <si>
    <t>FGTS</t>
  </si>
  <si>
    <t>TOTAL</t>
  </si>
  <si>
    <t>GPS - GUIA DA PREVIDÊNCIA SOCIAL</t>
  </si>
  <si>
    <t>Vigilantes(12x36 Noturno)</t>
  </si>
  <si>
    <t>FGTS - FUNDO DE GARANTIA POR TEMPO DE SERVIÇO</t>
  </si>
  <si>
    <t>GPS</t>
  </si>
  <si>
    <t>SUBMÓDULO 2.3 - BENEFÍCIOS MENSAIS E DIÁRIOS</t>
  </si>
  <si>
    <t>* O cálculo de benefícios mensais e diários dependerá das disposições constantes em Convenção Coletiva de Trabalho sobre os direitos negociados aos trabalhadores, observando sempre o custo efetivo a ser suportado pela Administração no contrato de prestação de serviços (descontados os valores arcados pelos empregados).</t>
  </si>
  <si>
    <t>VALE TRANSPORTE</t>
  </si>
  <si>
    <t>CUSTO DA PASSAGEM</t>
  </si>
  <si>
    <t>Vr. Unitário</t>
  </si>
  <si>
    <t xml:space="preserve">Vales por dia </t>
  </si>
  <si>
    <t>Dias efetivamente trabalhados</t>
  </si>
  <si>
    <t>Custo total</t>
  </si>
  <si>
    <t>Vigilante(12x36 Noturno)</t>
  </si>
  <si>
    <t>DESCONTO DO VALE TRANSPORTE</t>
  </si>
  <si>
    <t>Proporcionalidade</t>
  </si>
  <si>
    <t>Desconto</t>
  </si>
  <si>
    <t>CUSTO EFETIVO DO VALE TRANSPORTE</t>
  </si>
  <si>
    <t>Valor do desconto</t>
  </si>
  <si>
    <t>Custo efetivo</t>
  </si>
  <si>
    <t>VALE ALIMENTAÇÃO/REFEIÇÃO</t>
  </si>
  <si>
    <t>Valor diário</t>
  </si>
  <si>
    <t>DESCONTO DO VALE ALIMENTAÇÃO/REFEIÇÃO</t>
  </si>
  <si>
    <t>CUSTO EFETIVO DO VALE ALIMENTAÇÃO/REFEIÇÃO</t>
  </si>
  <si>
    <t>BENEFÍCIO PLANO DE ASSISTÊNCIA MÉDICA ODOTOLÓGICA</t>
  </si>
  <si>
    <t xml:space="preserve">Finalidade  </t>
  </si>
  <si>
    <t xml:space="preserve">Previsão legal  </t>
  </si>
  <si>
    <t xml:space="preserve">Assistência médica </t>
  </si>
  <si>
    <t>Clásula 45º</t>
  </si>
  <si>
    <r>
      <rPr>
        <b/>
        <sz val="12"/>
        <color theme="1"/>
        <rFont val="Times New Roman"/>
        <family val="1"/>
      </rPr>
      <t>AUXÍLIO CRECHE</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</si>
  <si>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t>AUXÍLIO CRECHE</t>
  </si>
  <si>
    <t>Cláusula 23º</t>
  </si>
  <si>
    <t xml:space="preserve">SEGURO DE VIDA INVALIDEZ E FUNERAL </t>
  </si>
  <si>
    <t>Cláusula 13ª CCT Lei 7.102/83</t>
  </si>
  <si>
    <t>Vale Transporte</t>
  </si>
  <si>
    <t>Vale Refeição</t>
  </si>
  <si>
    <t>Plano de Saúde</t>
  </si>
  <si>
    <t>Creche</t>
  </si>
  <si>
    <t xml:space="preserve">Seguro de vida </t>
  </si>
  <si>
    <t>Submódulo 2.1</t>
  </si>
  <si>
    <t>Submódulo 2.2</t>
  </si>
  <si>
    <t>Submódulo 2.3</t>
  </si>
  <si>
    <t>Vigilante/Cond de veículos  (12x36 Diurno)</t>
  </si>
  <si>
    <t>MÓDULO 3 - PROVISÃO PARA RESCISÃO</t>
  </si>
  <si>
    <t>* Este módulo destina-se a calcular o custo de possível desligamento de um empregado vinculado ao contrato de prestação de seviços. 
* Na metodologia Seges calcula-se uma probabilidade de ocorrência, por tipos de desligamentos, como fator de ponderação do custo total.</t>
  </si>
  <si>
    <t>PERCENTUAIS POR TIPO DE
 DESLIGAMENTO</t>
  </si>
  <si>
    <t>Tipos</t>
  </si>
  <si>
    <t>Demissão 
SEM  justa Causa</t>
  </si>
  <si>
    <t>SEM justa Causa
AP INDENIZADO</t>
  </si>
  <si>
    <t>SEM justa Causa 
AP TRABALHADO</t>
  </si>
  <si>
    <t>Demissão
 COM  justa Causa</t>
  </si>
  <si>
    <t>Desligamentos 
OUTROS TIPOS</t>
  </si>
  <si>
    <t>SUBMÓDULO 3.1 - AVISO PRÉVIO INDENIZADO</t>
  </si>
  <si>
    <t>* Quando ocorrer a demissão de uma trabalhador e a empresa não conceder prazo de aviso prévio, o trabalhador terá direito a receber o salário referente ao mês completo, conforme dispõe o art. 487 § 1º da CLT.
* A metodologia utilizada pela Seges computa todos os direitos do trabalhador, aplicando a proporcionalidade estimada de ocorrência de aviso prévio indenizado, relizando provisionamento mensal do custo.
* Estes custos deverão ser apreciados atentamente nos casos de prorrogaçao contratual para verificar a necessidade de sua renovação ou não.
* Deverão, ainda, ser obsrvados os ditames da Lei nº 12.506, de 2011 e seus impactos no custo quando das prorrogações contratuais.</t>
  </si>
  <si>
    <t>AVISO PRÉVIO INDENIZADO</t>
  </si>
  <si>
    <t>Vigilante  (12x36 Diurno)</t>
  </si>
  <si>
    <t>MULTA DO FGTS E CONTRIBUIÇÃO SOCIAL SOBRE O AVISO PRÉVIO INDENIZADO</t>
  </si>
  <si>
    <t>Percentual da 
Multa</t>
  </si>
  <si>
    <t>SUBMÓDULO 3.1 - CUSTO DO AVISO PRÉVIO INDENIZADO</t>
  </si>
  <si>
    <t>SUBMÓDULO 3.2 - AVISO PRÉVIO TRABALHADO</t>
  </si>
  <si>
    <t>* Quando ocorrer a demissão de um trabalhador com aviso prévio, o trabalhador cumprirá os dias em atividade, e terá direito a receber o salário referente ao mês completo, conforme dispõe o art. 487 § 1º da CLT.
* A metodologia utilizada pela Seges computa todos os direitos do trabalhador, aplicando a proporcionalidade estimada de ocorrência de aviso prévio trabalhado, relizando provisionamento mensal do custo.
* Estes custos deverão ser apreciados atentamente nos casos de prorrogaçao contratual para verificar a necessidade de sua renovação ou não.
* Deverão, ainda, ser observados os ditames da Lei nº 12.506, de 2011, e seus impactos no custo quando das prorrogações contratuais.</t>
  </si>
  <si>
    <t>AVISO PRÉVIO TRABALHADO</t>
  </si>
  <si>
    <t>MULTA DO FGTS E CONTRIBUIÇÃO SOCIAL SOBRE O AVISO PRÉVIO TRABALHADO</t>
  </si>
  <si>
    <t>SUBMÓDULO 3.2 - CUSTO DO AVISO PRÉVIO TRABALHADO</t>
  </si>
  <si>
    <t>SUBMÓDULO 3.3 - DEMISSÃO POR JUSTA CAUSA</t>
  </si>
  <si>
    <t>*Na hipotese de demissão por justa causa o empregado perde o direito ao pagamento de 13° salário, férias e adicional de férias, como previsto no parágrafo único do art. 146 da CLT.
* Para estes casos,  na metodologia Seges, haverá o desconto dos valores que, por tratar-se de provisão mensal, deverão ser reduzidos da fatura da empresa contratada.
* Igualmente, o cômputo de custos com demissão por justa causa considera a probabilidade de ocorrência desta para provisionamento.</t>
  </si>
  <si>
    <t>BASE DE CÁLCULO PARA DEMISSÃO POR JUSTA CAUSA</t>
  </si>
  <si>
    <t>Valor provisionado do 13º Salário</t>
  </si>
  <si>
    <t>Valor provisionado das Férias</t>
  </si>
  <si>
    <t>Valor provisionado do Adicional de Férias</t>
  </si>
  <si>
    <t>SUBMÓDULO 3.3 - CUSTO DA DEMISSÃO COM JUSTA CAUSA</t>
  </si>
  <si>
    <t>Submódulo 3.1</t>
  </si>
  <si>
    <t>Submódulo 3.2</t>
  </si>
  <si>
    <t>Submódulo 3.3</t>
  </si>
  <si>
    <t>MÓDULO 4 - CUSTO DE REPOSIÇÃO DO PROFISSIONAL AUSENTE</t>
  </si>
  <si>
    <t>* O Custo de reposição do profissional ausente refere-se ao custo necessário para substituir, no posto de trabalho, o profissional residente quando estiver em gozo de férias ou no caso de um das ausências legais previstas no art 473 da Consolidação das Leis do Trabalho. 
* Na metodologia Seges utiliza-se uma probabilidade de ocorrência, mediante estatísticas da Relação Anual de Informações Sociais-2016 (RAIS/MTE), da Pesquisa Nacional por Amostra de Domicílios-2016 (PNAD/IBGE), do Registro Civil (IBGE)-2016.
* São computados, então, a probabilidade de dias de ausência para cobertura, conforme escala de trabalho mensal.
* Para jornadas jornadas 12x36h a necessidade de reposição incide somente em 50% do dias de ausência devido à escala. 
* Na jornada 44h computa-se somente a reposição nos dias úteis, portanto, 69,04% da ausência total.</t>
  </si>
  <si>
    <t>Porobabilidade de ocorrência de ausências legais, conforme previsão do art. 473 da Consolidação das Leis do Trabalho.</t>
  </si>
  <si>
    <t xml:space="preserve">Memória de Cálculo - número de dias de reposição do profissional ausente para cada evento </t>
  </si>
  <si>
    <t>Incidencia anual</t>
  </si>
  <si>
    <t>Duração Legal  
da Ausência</t>
  </si>
  <si>
    <t>12x36</t>
  </si>
  <si>
    <t>44h</t>
  </si>
  <si>
    <t>Proporção dias afetados</t>
  </si>
  <si>
    <t>Dias de reposição</t>
  </si>
  <si>
    <t>Férias</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</si>
  <si>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</si>
  <si>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</si>
  <si>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</si>
  <si>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</si>
  <si>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</si>
  <si>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</si>
  <si>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</si>
  <si>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</si>
  <si>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</si>
  <si>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</si>
  <si>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</si>
  <si>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Custo de reciclagem</t>
  </si>
  <si>
    <t>ESTIMATIVA DA NECESSIDADE DE REPOSIÇÃO DE PROFISSIONAL</t>
  </si>
  <si>
    <t>Composição</t>
  </si>
  <si>
    <t>ESCALAS -  Cargo A</t>
  </si>
  <si>
    <t xml:space="preserve"> 12 x 36 D</t>
  </si>
  <si>
    <t>12 x 36 N</t>
  </si>
  <si>
    <t>Total Para reposição</t>
  </si>
  <si>
    <t>SUBMÓDULO 4.1 - AUSÊNCIAS LEGAIS</t>
  </si>
  <si>
    <t>* O Submódulo 4.1 destina-se ao cálculo do custo estimado para a reposição de ausências legais do empregado residente.
* Na metodologia Seges computa-se o custo total de um empregado, com direito à remuneração, 13° salário, férias, encargos e benefícios, bem como probabilidade de rescisão, para a base de cálculo do presente submódulo que, em seguida, servirá para estipular o custo diário de um profissional para a contratação. 
* Com base neste custo diário estima-se o custo mensal com reposição de profissional ausente.</t>
  </si>
  <si>
    <t>CUSTO DIÁRIO PARA O REPOSITOR</t>
  </si>
  <si>
    <t>Divisor do dia</t>
  </si>
  <si>
    <t>Custo diário</t>
  </si>
  <si>
    <t>Necessidade de Reposição</t>
  </si>
  <si>
    <t>Custo anual</t>
  </si>
  <si>
    <t>Custo mensal</t>
  </si>
  <si>
    <t>SUBMÓDULO 4.2 - INTRAJORNADA</t>
  </si>
  <si>
    <t>* O submódulo 4.2 destina-se a calcular o custo de um repositor para cobertura do tempo de concessão do intervalo para repouso e alimentação, previsto no art. 71 da Consolidação das Leis do Trabalho, ao empregado residente. 
* Na metodologia Seges, calcula-se o custo da hora de trabalho e multiplica-se pela necessidade de horas de cobertura no mês. 
* Por tratar-se de condição excepcional, dependerá de decisão do órgão contratante, bem como de disposições constantes da Convenção Coletiva quanto ao tempo de intervalo e ao adicional para pagamento.
* Não se computa custo de reposição intrajornada para supervisores por considerar que estes não realizam a cobertura de posto de trabalho e poderiam se ausentar durante o tempo previsto em lei, definição que também deverá ser objeto de apreciação pelos órgãos contratantes.</t>
  </si>
  <si>
    <t>CUSTO POR HORA DO REPOSITOR</t>
  </si>
  <si>
    <t>divisor de hora</t>
  </si>
  <si>
    <t>Valor da hora</t>
  </si>
  <si>
    <t>Necessidade de Reposição (horas)</t>
  </si>
  <si>
    <t>Submódulo 4.1</t>
  </si>
  <si>
    <t>Submódulo 4.2</t>
  </si>
  <si>
    <t>MÓDULO 5 - INSUMOS DE MÃO DE OBRA</t>
  </si>
  <si>
    <t xml:space="preserve">UNIFORMES - COMPOSIÇÃO - VALOR ANUAL </t>
  </si>
  <si>
    <t>Item</t>
  </si>
  <si>
    <t xml:space="preserve">qte ANUAL por pessoa </t>
  </si>
  <si>
    <t>Vr. Unitario</t>
  </si>
  <si>
    <t>Camisa</t>
  </si>
  <si>
    <t>Camiseta</t>
  </si>
  <si>
    <t>Camisa proteção UV</t>
  </si>
  <si>
    <r>
      <rPr>
        <sz val="11"/>
        <color theme="1"/>
        <rFont val="Arial"/>
        <family val="2"/>
      </rPr>
      <t>Calça</t>
    </r>
    <r>
      <rPr>
        <sz val="11"/>
        <color theme="1"/>
        <rFont val="Arial"/>
        <family val="2"/>
      </rPr>
      <t xml:space="preserve"> </t>
    </r>
    <r>
      <rPr>
        <sz val="11"/>
        <color theme="1"/>
        <rFont val="Arial"/>
        <family val="2"/>
      </rPr>
      <t>comprida</t>
    </r>
  </si>
  <si>
    <t>Cinto</t>
  </si>
  <si>
    <r>
      <rPr>
        <sz val="11"/>
        <color theme="1"/>
        <rFont val="Arial"/>
        <family val="2"/>
      </rPr>
      <t>Par</t>
    </r>
    <r>
      <rPr>
        <sz val="11"/>
        <color theme="1"/>
        <rFont val="Arial"/>
        <family val="2"/>
      </rPr>
      <t xml:space="preserve"> </t>
    </r>
    <r>
      <rPr>
        <sz val="11"/>
        <color theme="1"/>
        <rFont val="Arial"/>
        <family val="2"/>
      </rPr>
      <t>de</t>
    </r>
    <r>
      <rPr>
        <sz val="11"/>
        <color theme="1"/>
        <rFont val="Arial"/>
        <family val="2"/>
      </rPr>
      <t xml:space="preserve"> </t>
    </r>
    <r>
      <rPr>
        <sz val="11"/>
        <color theme="1"/>
        <rFont val="Arial"/>
        <family val="2"/>
      </rPr>
      <t>meias</t>
    </r>
  </si>
  <si>
    <t>Botina de segurança</t>
  </si>
  <si>
    <t>Boné</t>
  </si>
  <si>
    <t>Capa de colete para placa balistica</t>
  </si>
  <si>
    <t xml:space="preserve">Custo anual por Pessoa  </t>
  </si>
  <si>
    <t>UNIFORMES</t>
  </si>
  <si>
    <t xml:space="preserve">Custo mensal </t>
  </si>
  <si>
    <t xml:space="preserve">Equipamentos  </t>
  </si>
  <si>
    <t>Descrição</t>
  </si>
  <si>
    <t>Cotação</t>
  </si>
  <si>
    <t>qte</t>
  </si>
  <si>
    <t>Duração dos itens 
(vida útil)</t>
  </si>
  <si>
    <t>12x36 h</t>
  </si>
  <si>
    <t xml:space="preserve">COTAÇÃO X QTE </t>
  </si>
  <si>
    <t xml:space="preserve">VALOR POR EMPREGADO </t>
  </si>
  <si>
    <t>44 horas</t>
  </si>
  <si>
    <t xml:space="preserve">Revólver calibre </t>
  </si>
  <si>
    <t>Munição cx com 10</t>
  </si>
  <si>
    <t>Cinto tático</t>
  </si>
  <si>
    <t xml:space="preserve">Livro de ocorrência </t>
  </si>
  <si>
    <t>Tonfa/cassetete</t>
  </si>
  <si>
    <t>Apito de metal</t>
  </si>
  <si>
    <t xml:space="preserve">Lanterna Tática </t>
  </si>
  <si>
    <t>Rádio de comunicação(par)</t>
  </si>
  <si>
    <t xml:space="preserve">Bastão de ronda </t>
  </si>
  <si>
    <t>Placa Balística</t>
  </si>
  <si>
    <t>Capa p guarda de colete balístico</t>
  </si>
  <si>
    <t>Capa de Chuva</t>
  </si>
  <si>
    <t>Jet-Loader</t>
  </si>
  <si>
    <t>Crachá</t>
  </si>
  <si>
    <t xml:space="preserve">Joelheira </t>
  </si>
  <si>
    <t>Cotovleira</t>
  </si>
  <si>
    <t>Luva</t>
  </si>
  <si>
    <t>Capacete</t>
  </si>
  <si>
    <t xml:space="preserve">Custo veículo </t>
  </si>
  <si>
    <t xml:space="preserve">Valor total    </t>
  </si>
  <si>
    <t>CUSTO MENSAL DOS EQUIPAMENTOS POR POSTO</t>
  </si>
  <si>
    <t>Valor por empregado</t>
  </si>
  <si>
    <t>Vigilantes (12x36 Noturno)</t>
  </si>
  <si>
    <t>Custo com Uniformes</t>
  </si>
  <si>
    <t>Custo com Equipamentos</t>
  </si>
  <si>
    <t>MÓDULO 6 - CUSTOS INDIRETOS, TRIBUTOS E LUCRO</t>
  </si>
  <si>
    <t>INFORMAÇÃO DE PERCENTUAIS ESTIMADOS DE CITL</t>
  </si>
  <si>
    <t>Custos Indiretos</t>
  </si>
  <si>
    <t>Tributos</t>
  </si>
  <si>
    <t>Lucro</t>
  </si>
  <si>
    <t>RATEIO DO Cargo B</t>
  </si>
  <si>
    <t>* Para os casos em que há Supervisor e este não for contratado como um posto de trabalho, a exemplo dos serviços de vigilância patrimonial, seu custo deverá ser rateado pelo total de empregados supervisionados, conforme disposição do Anexo VII-D da Insrução Normativa n° 5, de 2017.</t>
  </si>
  <si>
    <t>RATEIO DA CHEFIA DE CAMPO</t>
  </si>
  <si>
    <t>Subordinados</t>
  </si>
  <si>
    <t>CUSTO DO TRABALHADOR</t>
  </si>
  <si>
    <t>CUSTO TOTAL POR TRABALHADOR</t>
  </si>
  <si>
    <t>Módulo</t>
  </si>
  <si>
    <t>12x36 Diurno</t>
  </si>
  <si>
    <t>12x36 Noturno</t>
  </si>
  <si>
    <t>Moto 12x36 Diurno</t>
  </si>
  <si>
    <t>Moto 12x36 Noturno</t>
  </si>
  <si>
    <t>Remuneração</t>
  </si>
  <si>
    <t>Encargos e Benefícios</t>
  </si>
  <si>
    <t>Rescisão</t>
  </si>
  <si>
    <t>Reposição do Profissional Ausente</t>
  </si>
  <si>
    <t>Insumos Diversos</t>
  </si>
  <si>
    <t>Custos Indiretos, Tributos e Lucro</t>
  </si>
  <si>
    <t>Rateio da Chefia de Campo</t>
  </si>
  <si>
    <t>Valor por Empregado</t>
  </si>
  <si>
    <t>Valor por Posto</t>
  </si>
  <si>
    <t>MODELO PARA A CONSOLIDAÇÃO E APRESENTAÇÃO DE PROPOSTAS</t>
  </si>
  <si>
    <t>Com ajustes após publicação da Lei n° 13.467, de 2017.</t>
  </si>
  <si>
    <t>Módulo 1 - Composição da Remuneração</t>
  </si>
  <si>
    <t>Composição da Remuneração</t>
  </si>
  <si>
    <t>Valor (R$)</t>
  </si>
  <si>
    <t>A</t>
  </si>
  <si>
    <t>Salário-Base</t>
  </si>
  <si>
    <t>B</t>
  </si>
  <si>
    <t>Adicional de Periculosidade (30%)</t>
  </si>
  <si>
    <t>C</t>
  </si>
  <si>
    <t>Hora noturna reduzida</t>
  </si>
  <si>
    <t>D</t>
  </si>
  <si>
    <t>E</t>
  </si>
  <si>
    <t>Prêmio do trabalho noturno</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</si>
  <si>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</si>
  <si>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</si>
  <si>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</si>
  <si>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</si>
  <si>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</si>
  <si>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</si>
  <si>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</si>
  <si>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Férias e Adicional de Férias</t>
  </si>
  <si>
    <t>Submódulo 2.2 - Encargos Previdenciários (GPS), Fundo de Garantia por Tempo de Serviço (FGTS) e outras contribuições.</t>
  </si>
  <si>
    <t>2.2</t>
  </si>
  <si>
    <t>GPS, FGTS e outras contribuições</t>
  </si>
  <si>
    <t>Percentual (%)</t>
  </si>
  <si>
    <t>INSS</t>
  </si>
  <si>
    <t>Salário Educação</t>
  </si>
  <si>
    <t>SAT RATX FAP</t>
  </si>
  <si>
    <t>SESC ou SESI</t>
  </si>
  <si>
    <t>SENAI - SENAC</t>
  </si>
  <si>
    <t>F</t>
  </si>
  <si>
    <t>H</t>
  </si>
  <si>
    <t xml:space="preserve">Total </t>
  </si>
  <si>
    <t>Submódulo 2.3 - Benefícios Mensais e Diários.</t>
  </si>
  <si>
    <t>2.3</t>
  </si>
  <si>
    <t>Benefícios Mensais e Diários</t>
  </si>
  <si>
    <t>Transporte</t>
  </si>
  <si>
    <t>Auxílio-Refeição/Alimentação</t>
  </si>
  <si>
    <t xml:space="preserve">Plano de saúde </t>
  </si>
  <si>
    <t>Auxílio creche</t>
  </si>
  <si>
    <t>Intervalo interjornada</t>
  </si>
  <si>
    <t>Seguro de vida, invalidez e funeral</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</si>
  <si>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</si>
  <si>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</si>
  <si>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</si>
  <si>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</si>
  <si>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</si>
  <si>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</si>
  <si>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</si>
  <si>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</si>
  <si>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dos encargos do submódulo 2.2 sobre o Aviso Prévio Trabalhado</t>
  </si>
  <si>
    <t>Multa do FGTS e contribuição social sobre o Aviso Prévio Trabalhado</t>
  </si>
  <si>
    <t>Módulo 4 - Custo de Reposição do Profissional Ausente</t>
  </si>
  <si>
    <t>Submódulo 4.1 - Ausências Legais</t>
  </si>
  <si>
    <t>4.1</t>
  </si>
  <si>
    <t>Ausências Legais</t>
  </si>
  <si>
    <t>Licença-Paternidade</t>
  </si>
  <si>
    <t>Ausência por acidente de trabalho</t>
  </si>
  <si>
    <t>Afastamento Maternidade</t>
  </si>
  <si>
    <t>Submódulo 4.2 - Intrajornada</t>
  </si>
  <si>
    <t>4.2</t>
  </si>
  <si>
    <t>Intrajornada</t>
  </si>
  <si>
    <t>Intervalo para repouso e alimentação</t>
  </si>
  <si>
    <t>Quadro-Resumo do Módulo 4 - Custo de Reposição do Profissional Ausente</t>
  </si>
  <si>
    <t>Custo de Reposição do Profissional Ausente</t>
  </si>
  <si>
    <t>Módulo 5 - Insumos Diversos</t>
  </si>
  <si>
    <t>Uniformes</t>
  </si>
  <si>
    <t>Materiais</t>
  </si>
  <si>
    <t>Equipamentos</t>
  </si>
  <si>
    <t>Módulo 6 - Custos Indiretos, Tributos e Lucro</t>
  </si>
  <si>
    <t>2. QUADRO-RESUMO DO CUSTO POR EMPREGADO</t>
  </si>
  <si>
    <t>Mão de obra vinculada à execução contratual (valor por empregado)</t>
  </si>
  <si>
    <t>Subtotal (A + B +C+ D+E)</t>
  </si>
  <si>
    <t>Módulo 6 – Custos Indiretos, Tributos e Lucro</t>
  </si>
  <si>
    <t xml:space="preserve">Valor Total por Empregado </t>
  </si>
  <si>
    <t>C.3. ISS</t>
  </si>
  <si>
    <t>C.2. PIS</t>
  </si>
  <si>
    <t>C.1. COFINS</t>
  </si>
  <si>
    <t xml:space="preserve">Postos </t>
  </si>
  <si>
    <t xml:space="preserve">qte postos </t>
  </si>
  <si>
    <t xml:space="preserve">valor por posto </t>
  </si>
  <si>
    <t>valor anual</t>
  </si>
  <si>
    <t>Vigilante diurno</t>
  </si>
  <si>
    <t xml:space="preserve">Vigilante diurno moto </t>
  </si>
  <si>
    <t xml:space="preserve">vlr por empregado </t>
  </si>
  <si>
    <t>Placa Balística (par)</t>
  </si>
  <si>
    <t xml:space="preserve">ADICIONAL DE BOA PERMANÊNCIA </t>
  </si>
  <si>
    <t>Clausula 27ª parágrafo 5º</t>
  </si>
  <si>
    <t>Clausula 23</t>
  </si>
  <si>
    <t xml:space="preserve">Vigilante/cond de veículos </t>
  </si>
  <si>
    <t>TABELA RESUMO</t>
  </si>
  <si>
    <t>ANEXO II - PLANILHA DE CUSTOS E FORMAÇÃO DE PREÇOS</t>
  </si>
  <si>
    <t xml:space="preserve">Catrgoria </t>
  </si>
  <si>
    <t>Prêmio de Trabalho Noturno</t>
  </si>
  <si>
    <t>Boa Permanência</t>
  </si>
  <si>
    <t>Prêmio Trabalho Noturno</t>
  </si>
  <si>
    <t>COTAÇÃO X QTDADE</t>
  </si>
  <si>
    <t>Ministério  da  Integração  Nacional – MI</t>
  </si>
  <si>
    <t>Companhia  de  Desenvolvimento  dos  Vales  do  São  Francisco e do Parnaíba</t>
  </si>
  <si>
    <t>VEÍCULO</t>
  </si>
  <si>
    <t>A- Quantidade de Postos no Contrato</t>
  </si>
  <si>
    <t>B- Depreciação Mensal</t>
  </si>
  <si>
    <t>B1 - Preço de Aquisição</t>
  </si>
  <si>
    <t>B2 - Vida útil em meses</t>
  </si>
  <si>
    <t>B3 - Duracao do contrato</t>
  </si>
  <si>
    <t>B4 - % de preço de Aquisição recuperável na venda do bem usado</t>
  </si>
  <si>
    <t>B5 = B1 - [(B4 x B1) / B3]</t>
  </si>
  <si>
    <t>C - Manutenção (incluindo seguro)</t>
  </si>
  <si>
    <t>C1 - Percentual sobre depreciação mensal (%)</t>
  </si>
  <si>
    <t>C2 - C1 x B5</t>
  </si>
  <si>
    <t>D - Outros</t>
  </si>
  <si>
    <t>D1 - Combustivel</t>
  </si>
  <si>
    <t>D2 - Lubrificantes</t>
  </si>
  <si>
    <t>D3 - Outros Materias(Peneus e Transmissão)</t>
  </si>
  <si>
    <t>D=(D1+D2+D3)</t>
  </si>
  <si>
    <t xml:space="preserve">E - Custo Direto Mensal </t>
  </si>
  <si>
    <t>(B+C+D)/A</t>
  </si>
  <si>
    <t>COMBUSTIVE</t>
  </si>
  <si>
    <t>LUBRIFICANTE</t>
  </si>
  <si>
    <t>Franquia Mensal KM</t>
  </si>
  <si>
    <t>Franquia do CT Km</t>
  </si>
  <si>
    <t>Valor do Combustivel R$</t>
  </si>
  <si>
    <t>Valor Lubrificante</t>
  </si>
  <si>
    <t>Consumo do Veiculo Km/lt</t>
  </si>
  <si>
    <t>Tempo Médio de Uso Km</t>
  </si>
  <si>
    <t>Valor Mensal  R$</t>
  </si>
  <si>
    <t>PNEUS</t>
  </si>
  <si>
    <t>TRANSMISSÃO</t>
  </si>
  <si>
    <t>Valor do Pneu R$</t>
  </si>
  <si>
    <t>Meses</t>
  </si>
  <si>
    <t xml:space="preserve">Moto </t>
  </si>
  <si>
    <t>cotação 1</t>
  </si>
  <si>
    <t>cotação 3</t>
  </si>
  <si>
    <t xml:space="preserve">cotação 2 </t>
  </si>
  <si>
    <t>Média</t>
  </si>
  <si>
    <t>total  postos (mês)</t>
  </si>
  <si>
    <t xml:space="preserve"> </t>
  </si>
  <si>
    <t>Valor anual</t>
  </si>
  <si>
    <t xml:space="preserve">Vigilante noturno </t>
  </si>
  <si>
    <t xml:space="preserve">Vigilante noturno moto </t>
  </si>
  <si>
    <t>Tipo de Serviço</t>
  </si>
  <si>
    <t>Qtde. de Postos</t>
  </si>
  <si>
    <t>Qtde. de empregados no posto</t>
  </si>
  <si>
    <t>Valor por posto (MENSAL)</t>
  </si>
  <si>
    <t>Valor por posto (ANUAL)</t>
  </si>
  <si>
    <t>I</t>
  </si>
  <si>
    <t>II</t>
  </si>
  <si>
    <t>III</t>
  </si>
  <si>
    <t>IV</t>
  </si>
  <si>
    <t>VALOR MENSAL DOS SERVIÇOS</t>
  </si>
  <si>
    <t>VALOR ANUAL DOS SERVIÇOS - TOTAL GLOBAL</t>
  </si>
  <si>
    <t>Vigilante armado - diurno</t>
  </si>
  <si>
    <t>Vigilante armado - diurno - moto</t>
  </si>
  <si>
    <t>Vigilante armado - noturno</t>
  </si>
  <si>
    <t>Vigilante armado - noturno - moto</t>
  </si>
  <si>
    <t>PLANILHA COMPOSIÇÃO DE PREÇOS VIGILÂNCIA ARMADA 2022/2023</t>
  </si>
  <si>
    <t>Local</t>
  </si>
  <si>
    <t>Q. de postos</t>
  </si>
  <si>
    <t>Turno/jornada</t>
  </si>
  <si>
    <t>Escala (horas)</t>
  </si>
  <si>
    <t>Dias da semana</t>
  </si>
  <si>
    <t>Funcionamento</t>
  </si>
  <si>
    <t>Valor mensal</t>
  </si>
  <si>
    <t>2a SR - Sede</t>
  </si>
  <si>
    <t>Diurno</t>
  </si>
  <si>
    <t>segunda a domingo</t>
  </si>
  <si>
    <t>7h às 19h</t>
  </si>
  <si>
    <t>Noturno</t>
  </si>
  <si>
    <t>19h às 7h</t>
  </si>
  <si>
    <t>Subtotal</t>
  </si>
  <si>
    <t>Unidade Descentralizada de Barreiras - 2ª/UBA</t>
  </si>
  <si>
    <t>Escritório de Apoio Técnico de Irecê - 2ª/EIR</t>
  </si>
  <si>
    <t>Escritório de Apoio Técnico de Guanambi - 2ª/EGU</t>
  </si>
  <si>
    <t>Unidade Descentralizada de Vitória da Conquista - 2ª/UCO</t>
  </si>
  <si>
    <t>Centro Integrado de Recursos Pesqueiros e Aquicultura - 2ª/CIX/CIRPA</t>
  </si>
  <si>
    <t>Projeto Baixio de Irecê/Xique-xique</t>
  </si>
  <si>
    <t>Diurno móvel</t>
  </si>
  <si>
    <t>Noturno móvel</t>
  </si>
  <si>
    <t>Barragem de Mirorós</t>
  </si>
  <si>
    <t>Estação Bombeamento de Estreito - DIPE</t>
  </si>
  <si>
    <t>TOTAL GERAL</t>
  </si>
  <si>
    <t>TOTAL POSTOS DIURNO FIXO</t>
  </si>
  <si>
    <t>TOTAL POSTOS NOTURNO FIXO</t>
  </si>
  <si>
    <t>TOTAL POSTOS DIURNO MÓVEL</t>
  </si>
  <si>
    <t>TOTAL POSTOS NOTURNO MÓVEL</t>
  </si>
  <si>
    <t xml:space="preserve">Insumos / Uniforme </t>
  </si>
  <si>
    <t>cotação 01</t>
  </si>
  <si>
    <t>cotação 02</t>
  </si>
  <si>
    <t>cotação03</t>
  </si>
  <si>
    <t>Camisa em manga longa</t>
  </si>
  <si>
    <t>Camiseta em manga curta</t>
  </si>
  <si>
    <t>Calça comprida</t>
  </si>
  <si>
    <t>Cinto em couro</t>
  </si>
  <si>
    <t>Par de meias</t>
  </si>
  <si>
    <t>Boné vigilante</t>
  </si>
  <si>
    <t>EPIs</t>
  </si>
  <si>
    <t>REVÓLVER</t>
  </si>
  <si>
    <t>MUNIÇÃO (10)</t>
  </si>
  <si>
    <t>CINTO TÁTICO</t>
  </si>
  <si>
    <t>LIVRO DE OCORRÊNCIA</t>
  </si>
  <si>
    <t>TONFA/CASSETETE</t>
  </si>
  <si>
    <t>APITO DE METAL</t>
  </si>
  <si>
    <r>
      <t>Lanterna</t>
    </r>
    <r>
      <rPr>
        <sz val="10"/>
        <color theme="1"/>
        <rFont val="Arial"/>
        <charset val="134"/>
      </rPr>
      <t xml:space="preserve"> </t>
    </r>
    <r>
      <rPr>
        <sz val="10"/>
        <color theme="1"/>
        <rFont val="Arial"/>
        <charset val="134"/>
      </rPr>
      <t>Tática</t>
    </r>
    <r>
      <rPr>
        <sz val="10"/>
        <color theme="1"/>
        <rFont val="Arial"/>
        <charset val="134"/>
      </rPr>
      <t xml:space="preserve"> </t>
    </r>
    <r>
      <rPr>
        <sz val="10"/>
        <color theme="1"/>
        <rFont val="Arial"/>
        <charset val="134"/>
      </rPr>
      <t>Profissional</t>
    </r>
    <r>
      <rPr>
        <sz val="10"/>
        <color theme="1"/>
        <rFont val="Arial"/>
        <charset val="134"/>
      </rPr>
      <t xml:space="preserve"> </t>
    </r>
    <r>
      <rPr>
        <sz val="10"/>
        <color theme="1"/>
        <rFont val="Arial"/>
        <charset val="134"/>
      </rPr>
      <t>(com</t>
    </r>
    <r>
      <rPr>
        <sz val="10"/>
        <color theme="1"/>
        <rFont val="Arial"/>
        <charset val="134"/>
      </rPr>
      <t xml:space="preserve"> </t>
    </r>
    <r>
      <rPr>
        <sz val="10"/>
        <color theme="1"/>
        <rFont val="Arial"/>
        <charset val="134"/>
      </rPr>
      <t>bateria</t>
    </r>
    <r>
      <rPr>
        <sz val="10"/>
        <color theme="1"/>
        <rFont val="Arial"/>
        <charset val="134"/>
      </rPr>
      <t xml:space="preserve"> </t>
    </r>
    <r>
      <rPr>
        <sz val="10"/>
        <color theme="1"/>
        <rFont val="Arial"/>
        <charset val="134"/>
      </rPr>
      <t>recarregável</t>
    </r>
    <r>
      <rPr>
        <sz val="10"/>
        <color theme="1"/>
        <rFont val="Arial"/>
        <charset val="134"/>
      </rPr>
      <t xml:space="preserve"> </t>
    </r>
    <r>
      <rPr>
        <sz val="10"/>
        <color theme="1"/>
        <rFont val="Arial"/>
        <charset val="134"/>
      </rPr>
      <t>e</t>
    </r>
    <r>
      <rPr>
        <sz val="10"/>
        <color theme="1"/>
        <rFont val="Arial"/>
        <charset val="134"/>
      </rPr>
      <t xml:space="preserve"> </t>
    </r>
    <r>
      <rPr>
        <sz val="10"/>
        <color theme="1"/>
        <rFont val="Arial"/>
        <charset val="134"/>
      </rPr>
      <t>carregador)</t>
    </r>
  </si>
  <si>
    <r>
      <t>Rádio</t>
    </r>
    <r>
      <rPr>
        <sz val="10"/>
        <color theme="1"/>
        <rFont val="Arial"/>
        <charset val="134"/>
      </rPr>
      <t xml:space="preserve"> </t>
    </r>
    <r>
      <rPr>
        <sz val="10"/>
        <color theme="1"/>
        <rFont val="Arial"/>
        <charset val="134"/>
      </rPr>
      <t>de</t>
    </r>
    <r>
      <rPr>
        <sz val="10"/>
        <color theme="1"/>
        <rFont val="Arial"/>
        <charset val="134"/>
      </rPr>
      <t xml:space="preserve"> </t>
    </r>
    <r>
      <rPr>
        <sz val="10"/>
        <color theme="1"/>
        <rFont val="Arial"/>
        <charset val="134"/>
      </rPr>
      <t>comunicação</t>
    </r>
    <r>
      <rPr>
        <sz val="10"/>
        <color theme="1"/>
        <rFont val="Arial"/>
        <charset val="134"/>
      </rPr>
      <t xml:space="preserve"> </t>
    </r>
    <r>
      <rPr>
        <sz val="10"/>
        <color theme="1"/>
        <rFont val="Arial"/>
        <charset val="134"/>
      </rPr>
      <t>móvel</t>
    </r>
    <r>
      <rPr>
        <sz val="10"/>
        <color theme="1"/>
        <rFont val="Arial"/>
        <charset val="134"/>
      </rPr>
      <t xml:space="preserve"> </t>
    </r>
    <r>
      <rPr>
        <sz val="10"/>
        <color theme="1"/>
        <rFont val="Arial"/>
        <charset val="134"/>
      </rPr>
      <t>e</t>
    </r>
    <r>
      <rPr>
        <sz val="10"/>
        <color theme="1"/>
        <rFont val="Arial"/>
        <charset val="134"/>
      </rPr>
      <t xml:space="preserve"> </t>
    </r>
    <r>
      <rPr>
        <sz val="10"/>
        <color theme="1"/>
        <rFont val="Arial"/>
        <charset val="134"/>
      </rPr>
      <t>portátil</t>
    </r>
    <r>
      <rPr>
        <sz val="10"/>
        <color theme="1"/>
        <rFont val="Arial"/>
        <charset val="134"/>
      </rPr>
      <t xml:space="preserve"> </t>
    </r>
    <r>
      <rPr>
        <sz val="10"/>
        <color theme="1"/>
        <rFont val="Arial"/>
        <charset val="134"/>
      </rPr>
      <t>(transmissor</t>
    </r>
    <r>
      <rPr>
        <sz val="10"/>
        <color theme="1"/>
        <rFont val="Arial"/>
        <charset val="134"/>
      </rPr>
      <t xml:space="preserve"> </t>
    </r>
    <r>
      <rPr>
        <sz val="10"/>
        <color theme="1"/>
        <rFont val="Arial"/>
        <charset val="134"/>
      </rPr>
      <t>HT)</t>
    </r>
    <r>
      <rPr>
        <sz val="10"/>
        <color theme="1"/>
        <rFont val="Arial"/>
        <charset val="134"/>
      </rPr>
      <t xml:space="preserve"> </t>
    </r>
    <r>
      <rPr>
        <sz val="10"/>
        <color theme="1"/>
        <rFont val="Arial"/>
        <charset val="134"/>
      </rPr>
      <t>ou</t>
    </r>
    <r>
      <rPr>
        <sz val="10"/>
        <color theme="1"/>
        <rFont val="Arial"/>
        <charset val="134"/>
      </rPr>
      <t xml:space="preserve"> </t>
    </r>
    <r>
      <rPr>
        <sz val="10"/>
        <color theme="1"/>
        <rFont val="Arial"/>
        <charset val="134"/>
      </rPr>
      <t>celular</t>
    </r>
    <r>
      <rPr>
        <sz val="10"/>
        <color theme="1"/>
        <rFont val="Arial"/>
        <charset val="134"/>
      </rPr>
      <t xml:space="preserve"> </t>
    </r>
    <r>
      <rPr>
        <sz val="10"/>
        <color theme="1"/>
        <rFont val="Arial"/>
        <charset val="134"/>
      </rPr>
      <t>e</t>
    </r>
    <r>
      <rPr>
        <sz val="10"/>
        <color theme="1"/>
        <rFont val="Arial"/>
        <charset val="134"/>
      </rPr>
      <t xml:space="preserve"> </t>
    </r>
    <r>
      <rPr>
        <sz val="10"/>
        <color theme="1"/>
        <rFont val="Arial"/>
        <charset val="134"/>
      </rPr>
      <t>carregadores</t>
    </r>
  </si>
  <si>
    <t>Bastão de ronda com capacidade mínima de armazenamento de 4000 registros aprovado pelo INMETRO</t>
  </si>
  <si>
    <r>
      <t>Placa</t>
    </r>
    <r>
      <rPr>
        <sz val="10"/>
        <color theme="1"/>
        <rFont val="Arial"/>
        <charset val="134"/>
      </rPr>
      <t xml:space="preserve"> </t>
    </r>
    <r>
      <rPr>
        <sz val="10"/>
        <color theme="1"/>
        <rFont val="Arial"/>
        <charset val="134"/>
      </rPr>
      <t>Balística</t>
    </r>
    <r>
      <rPr>
        <sz val="10"/>
        <color theme="1"/>
        <rFont val="Arial"/>
        <charset val="134"/>
      </rPr>
      <t xml:space="preserve"> </t>
    </r>
    <r>
      <rPr>
        <sz val="10"/>
        <color theme="1"/>
        <rFont val="Arial"/>
        <charset val="134"/>
      </rPr>
      <t>(à</t>
    </r>
    <r>
      <rPr>
        <sz val="10"/>
        <color theme="1"/>
        <rFont val="Arial"/>
        <charset val="134"/>
      </rPr>
      <t xml:space="preserve"> </t>
    </r>
    <r>
      <rPr>
        <sz val="10"/>
        <color theme="1"/>
        <rFont val="Arial"/>
        <charset val="134"/>
      </rPr>
      <t>prova</t>
    </r>
    <r>
      <rPr>
        <sz val="10"/>
        <color theme="1"/>
        <rFont val="Arial"/>
        <charset val="134"/>
      </rPr>
      <t xml:space="preserve"> </t>
    </r>
    <r>
      <rPr>
        <sz val="10"/>
        <color theme="1"/>
        <rFont val="Arial"/>
        <charset val="134"/>
      </rPr>
      <t>de</t>
    </r>
    <r>
      <rPr>
        <sz val="10"/>
        <color theme="1"/>
        <rFont val="Arial"/>
        <charset val="134"/>
      </rPr>
      <t xml:space="preserve"> </t>
    </r>
    <r>
      <rPr>
        <sz val="10"/>
        <color theme="1"/>
        <rFont val="Arial"/>
        <charset val="134"/>
      </rPr>
      <t>balas,</t>
    </r>
    <r>
      <rPr>
        <sz val="10"/>
        <color theme="1"/>
        <rFont val="Arial"/>
        <charset val="134"/>
      </rPr>
      <t xml:space="preserve"> </t>
    </r>
    <r>
      <rPr>
        <sz val="10"/>
        <color theme="1"/>
        <rFont val="Arial"/>
        <charset val="134"/>
      </rPr>
      <t>novo</t>
    </r>
    <r>
      <rPr>
        <sz val="10"/>
        <color theme="1"/>
        <rFont val="Arial"/>
        <charset val="134"/>
      </rPr>
      <t xml:space="preserve"> </t>
    </r>
    <r>
      <rPr>
        <sz val="10"/>
        <color theme="1"/>
        <rFont val="Arial"/>
        <charset val="134"/>
      </rPr>
      <t>de</t>
    </r>
    <r>
      <rPr>
        <sz val="10"/>
        <color theme="1"/>
        <rFont val="Arial"/>
        <charset val="134"/>
      </rPr>
      <t xml:space="preserve"> </t>
    </r>
    <r>
      <rPr>
        <sz val="10"/>
        <color theme="1"/>
        <rFont val="Arial"/>
        <charset val="134"/>
      </rPr>
      <t>primeiro</t>
    </r>
    <r>
      <rPr>
        <sz val="10"/>
        <color theme="1"/>
        <rFont val="Arial"/>
        <charset val="134"/>
      </rPr>
      <t xml:space="preserve"> </t>
    </r>
    <r>
      <rPr>
        <sz val="10"/>
        <color theme="1"/>
        <rFont val="Arial"/>
        <charset val="134"/>
      </rPr>
      <t>uso,</t>
    </r>
    <r>
      <rPr>
        <sz val="10"/>
        <color theme="1"/>
        <rFont val="Arial"/>
        <charset val="134"/>
      </rPr>
      <t xml:space="preserve"> </t>
    </r>
    <r>
      <rPr>
        <sz val="10"/>
        <color theme="1"/>
        <rFont val="Arial"/>
        <charset val="134"/>
      </rPr>
      <t>placa</t>
    </r>
    <r>
      <rPr>
        <sz val="10"/>
        <color theme="1"/>
        <rFont val="Arial"/>
        <charset val="134"/>
      </rPr>
      <t xml:space="preserve"> </t>
    </r>
    <r>
      <rPr>
        <sz val="10"/>
        <color theme="1"/>
        <rFont val="Arial"/>
        <charset val="134"/>
      </rPr>
      <t>com</t>
    </r>
    <r>
      <rPr>
        <sz val="10"/>
        <color theme="1"/>
        <rFont val="Arial"/>
        <charset val="134"/>
      </rPr>
      <t xml:space="preserve"> </t>
    </r>
    <r>
      <rPr>
        <sz val="10"/>
        <color theme="1"/>
        <rFont val="Arial"/>
        <charset val="134"/>
      </rPr>
      <t>validade</t>
    </r>
    <r>
      <rPr>
        <sz val="10"/>
        <color theme="1"/>
        <rFont val="Arial"/>
        <charset val="134"/>
      </rPr>
      <t xml:space="preserve"> </t>
    </r>
    <r>
      <rPr>
        <sz val="10"/>
        <color theme="1"/>
        <rFont val="Arial"/>
        <charset val="134"/>
      </rPr>
      <t>de</t>
    </r>
    <r>
      <rPr>
        <sz val="10"/>
        <color theme="1"/>
        <rFont val="Arial"/>
        <charset val="134"/>
      </rPr>
      <t xml:space="preserve"> </t>
    </r>
    <r>
      <rPr>
        <sz val="10"/>
        <color theme="1"/>
        <rFont val="Arial"/>
        <charset val="134"/>
      </rPr>
      <t>5</t>
    </r>
    <r>
      <rPr>
        <sz val="10"/>
        <color theme="1"/>
        <rFont val="Arial"/>
        <charset val="134"/>
      </rPr>
      <t xml:space="preserve"> </t>
    </r>
    <r>
      <rPr>
        <sz val="10"/>
        <color theme="1"/>
        <rFont val="Arial"/>
        <charset val="134"/>
      </rPr>
      <t>anos)</t>
    </r>
  </si>
  <si>
    <t>Capa para guarda de colete balístico</t>
  </si>
  <si>
    <t>Capa de Chuva (Em PVC, seu comprimento é de tamanho longo, protegendo o tronco e pernas, possuir botões de pressão de boa qualidade).</t>
  </si>
  <si>
    <t>Jet-Loader (carregador rápido) compatível com armamento</t>
  </si>
  <si>
    <t>Crachá ( confeccionado em cartão de PVC, medindo 89x 57 mm, equipado de presilha tipo jacaré)</t>
  </si>
</sst>
</file>

<file path=xl/styles.xml><?xml version="1.0" encoding="utf-8"?>
<styleSheet xmlns="http://schemas.openxmlformats.org/spreadsheetml/2006/main">
  <numFmts count="9">
    <numFmt numFmtId="8" formatCode="&quot;R$&quot;\ #,##0.00;[Red]\-&quot;R$&quot;\ #,##0.00"/>
    <numFmt numFmtId="44" formatCode="_-&quot;R$&quot;\ * #,##0.00_-;\-&quot;R$&quot;\ * #,##0.00_-;_-&quot;R$&quot;\ * &quot;-&quot;??_-;_-@_-"/>
    <numFmt numFmtId="43" formatCode="_-* #,##0.00_-;\-* #,##0.00_-;_-* &quot;-&quot;??_-;_-@_-"/>
    <numFmt numFmtId="164" formatCode="_(* #,##0.00_);_(* \(#,##0.00\);_(* \-??_);_(@_)"/>
    <numFmt numFmtId="165" formatCode="&quot;R$&quot;\ #,##0.00_);[Red]\(&quot;R$&quot;\ #,##0.00\)"/>
    <numFmt numFmtId="166" formatCode="#,##0.00;[Red]#,##0.00"/>
    <numFmt numFmtId="167" formatCode="0.0000"/>
    <numFmt numFmtId="168" formatCode="#,##0.0000_ ;\-#,##0.0000\ "/>
    <numFmt numFmtId="169" formatCode="&quot;R$&quot;\ #,##0.00"/>
  </numFmts>
  <fonts count="58">
    <font>
      <sz val="11"/>
      <color theme="1"/>
      <name val="Calibri"/>
      <charset val="134"/>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1"/>
    </font>
    <font>
      <sz val="18"/>
      <color theme="0"/>
      <name val="Times New Roman"/>
      <family val="1"/>
    </font>
    <font>
      <sz val="12"/>
      <color rgb="FFFF0000"/>
      <name val="Times New Roman"/>
      <family val="1"/>
    </font>
    <font>
      <b/>
      <sz val="12"/>
      <color theme="1"/>
      <name val="Times New Roman"/>
      <family val="1"/>
    </font>
    <font>
      <sz val="11"/>
      <color rgb="FF211F1F"/>
      <name val="Arial"/>
      <family val="2"/>
    </font>
    <font>
      <b/>
      <sz val="12"/>
      <color rgb="FFFF0000"/>
      <name val="Times New Roman"/>
      <family val="1"/>
    </font>
    <font>
      <sz val="12"/>
      <name val="Times New Roman"/>
      <family val="1"/>
    </font>
    <font>
      <b/>
      <sz val="12"/>
      <name val="Times New Roman"/>
      <family val="1"/>
    </font>
    <font>
      <sz val="11"/>
      <color theme="1"/>
      <name val="Arial"/>
      <family val="2"/>
    </font>
    <font>
      <b/>
      <sz val="12"/>
      <color indexed="8"/>
      <name val="Times New Roman"/>
      <family val="1"/>
    </font>
    <font>
      <b/>
      <sz val="8"/>
      <color theme="1"/>
      <name val="Times New Roman"/>
      <family val="1"/>
    </font>
    <font>
      <sz val="12"/>
      <color indexed="8"/>
      <name val="Times New Roman"/>
      <family val="1"/>
    </font>
    <font>
      <b/>
      <sz val="12"/>
      <color rgb="FF00B050"/>
      <name val="Times New Roman"/>
      <family val="1"/>
    </font>
    <font>
      <sz val="11"/>
      <color theme="1"/>
      <name val="Calibri"/>
      <family val="2"/>
      <scheme val="minor"/>
    </font>
    <font>
      <sz val="11"/>
      <name val="Calibri"/>
      <family val="2"/>
      <scheme val="minor"/>
    </font>
    <font>
      <sz val="10"/>
      <name val="Arial"/>
      <family val="2"/>
    </font>
    <font>
      <b/>
      <sz val="10"/>
      <color theme="1"/>
      <name val="Calibri"/>
      <family val="2"/>
      <scheme val="minor"/>
    </font>
    <font>
      <sz val="12"/>
      <color rgb="FFFF0000"/>
      <name val="Times New Roman"/>
      <family val="1"/>
    </font>
    <font>
      <b/>
      <sz val="12"/>
      <color rgb="FFFF0000"/>
      <name val="Times New Roman"/>
      <family val="1"/>
    </font>
    <font>
      <sz val="12"/>
      <color theme="1"/>
      <name val="Times New Roman"/>
      <family val="1"/>
    </font>
    <font>
      <b/>
      <sz val="12"/>
      <color theme="1"/>
      <name val="Times New Roman"/>
      <family val="1"/>
    </font>
    <font>
      <b/>
      <sz val="11"/>
      <color theme="1"/>
      <name val="Calibri"/>
      <family val="2"/>
      <scheme val="minor"/>
    </font>
    <font>
      <sz val="10"/>
      <color theme="1"/>
      <name val="Times New Roman"/>
      <family val="1"/>
    </font>
    <font>
      <b/>
      <sz val="9"/>
      <name val="Times New Roman"/>
      <family val="1"/>
    </font>
    <font>
      <sz val="10"/>
      <name val="Times New Roman"/>
      <family val="1"/>
    </font>
    <font>
      <sz val="9"/>
      <name val="Arial"/>
      <family val="2"/>
    </font>
    <font>
      <sz val="8"/>
      <name val="Times New Roman"/>
      <family val="1"/>
    </font>
    <font>
      <b/>
      <u/>
      <sz val="11"/>
      <color theme="1"/>
      <name val="Calibri"/>
      <family val="2"/>
      <scheme val="minor"/>
    </font>
    <font>
      <sz val="10"/>
      <color theme="1"/>
      <name val="Calibri"/>
      <family val="2"/>
      <scheme val="minor"/>
    </font>
    <font>
      <sz val="9"/>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8"/>
      <color theme="3"/>
      <name val="Calibri Light"/>
      <family val="2"/>
      <scheme val="major"/>
    </font>
    <font>
      <sz val="11"/>
      <color indexed="64"/>
      <name val="Calibri"/>
      <family val="2"/>
      <scheme val="minor"/>
    </font>
    <font>
      <sz val="12"/>
      <color theme="1"/>
      <name val="Calibri"/>
      <family val="2"/>
      <scheme val="minor"/>
    </font>
    <font>
      <b/>
      <sz val="12"/>
      <color theme="1"/>
      <name val="Calibri"/>
      <family val="2"/>
      <scheme val="minor"/>
    </font>
    <font>
      <b/>
      <sz val="13"/>
      <color theme="1"/>
      <name val="Calibri"/>
      <family val="2"/>
      <scheme val="minor"/>
    </font>
    <font>
      <b/>
      <sz val="9"/>
      <color theme="1"/>
      <name val="Calibri"/>
      <family val="2"/>
      <scheme val="minor"/>
    </font>
    <font>
      <b/>
      <sz val="9"/>
      <color rgb="FF000000"/>
      <name val="Calibri "/>
    </font>
    <font>
      <b/>
      <sz val="11"/>
      <name val="Calibri"/>
      <family val="2"/>
      <scheme val="minor"/>
    </font>
    <font>
      <sz val="10"/>
      <color theme="1"/>
      <name val="Arial"/>
      <charset val="134"/>
    </font>
    <font>
      <sz val="10"/>
      <color theme="1"/>
      <name val="Arial"/>
      <family val="2"/>
    </font>
  </fonts>
  <fills count="50">
    <fill>
      <patternFill patternType="none"/>
    </fill>
    <fill>
      <patternFill patternType="gray125"/>
    </fill>
    <fill>
      <patternFill patternType="solid">
        <fgColor theme="4" tint="-0.249977111117893"/>
        <bgColor indexed="64"/>
      </patternFill>
    </fill>
    <fill>
      <patternFill patternType="solid">
        <fgColor theme="4" tint="0.39991454817346722"/>
        <bgColor indexed="64"/>
      </patternFill>
    </fill>
    <fill>
      <patternFill patternType="solid">
        <fgColor theme="4" tint="0.79992065187536243"/>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5" tint="0.39991454817346722"/>
        <bgColor indexed="64"/>
      </patternFill>
    </fill>
    <fill>
      <patternFill patternType="solid">
        <fgColor theme="0"/>
        <bgColor indexed="64"/>
      </patternFill>
    </fill>
    <fill>
      <patternFill patternType="solid">
        <fgColor theme="4" tint="0.39991454817346722"/>
        <bgColor indexed="41"/>
      </patternFill>
    </fill>
    <fill>
      <patternFill patternType="solid">
        <fgColor theme="5" tint="0.79992065187536243"/>
        <bgColor indexed="64"/>
      </patternFill>
    </fill>
    <fill>
      <patternFill patternType="solid">
        <fgColor theme="4" tint="0.39991454817346722"/>
        <bgColor indexed="26"/>
      </patternFill>
    </fill>
    <fill>
      <patternFill patternType="solid">
        <fgColor theme="4" tint="0.39994506668294322"/>
        <bgColor indexed="64"/>
      </patternFill>
    </fill>
    <fill>
      <patternFill patternType="solid">
        <fgColor theme="7" tint="0.59999389629810485"/>
        <bgColor indexed="64"/>
      </patternFill>
    </fill>
    <fill>
      <patternFill patternType="solid">
        <fgColor rgb="FFFF00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34998626667073579"/>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rgb="FFFFFF00"/>
        <bgColor indexed="64"/>
      </patternFill>
    </fill>
  </fills>
  <borders count="92">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style="thin">
        <color auto="1"/>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right/>
      <top style="medium">
        <color auto="1"/>
      </top>
      <bottom/>
      <diagonal/>
    </border>
    <border>
      <left/>
      <right/>
      <top/>
      <bottom style="medium">
        <color auto="1"/>
      </bottom>
      <diagonal/>
    </border>
    <border>
      <left style="medium">
        <color auto="1"/>
      </left>
      <right style="medium">
        <color auto="1"/>
      </right>
      <top style="medium">
        <color auto="1"/>
      </top>
      <bottom style="thin">
        <color auto="1"/>
      </bottom>
      <diagonal/>
    </border>
    <border>
      <left style="medium">
        <color auto="1"/>
      </left>
      <right/>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thin">
        <color auto="1"/>
      </left>
      <right/>
      <top style="medium">
        <color auto="1"/>
      </top>
      <bottom style="medium">
        <color auto="1"/>
      </bottom>
      <diagonal/>
    </border>
    <border>
      <left style="thin">
        <color auto="1"/>
      </left>
      <right/>
      <top/>
      <bottom style="thin">
        <color auto="1"/>
      </bottom>
      <diagonal/>
    </border>
    <border>
      <left style="medium">
        <color indexed="8"/>
      </left>
      <right/>
      <top style="medium">
        <color indexed="8"/>
      </top>
      <bottom style="medium">
        <color auto="1"/>
      </bottom>
      <diagonal/>
    </border>
    <border>
      <left/>
      <right/>
      <top style="medium">
        <color indexed="8"/>
      </top>
      <bottom style="medium">
        <color auto="1"/>
      </bottom>
      <diagonal/>
    </border>
    <border>
      <left/>
      <right style="medium">
        <color indexed="8"/>
      </right>
      <top style="medium">
        <color indexed="8"/>
      </top>
      <bottom style="medium">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top style="medium">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medium">
        <color indexed="64"/>
      </right>
      <top style="medium">
        <color auto="1"/>
      </top>
      <bottom style="medium">
        <color auto="1"/>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top style="medium">
        <color indexed="64"/>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auto="1"/>
      </bottom>
      <diagonal/>
    </border>
    <border>
      <left/>
      <right/>
      <top style="medium">
        <color indexed="64"/>
      </top>
      <bottom style="medium">
        <color auto="1"/>
      </bottom>
      <diagonal/>
    </border>
    <border>
      <left/>
      <right style="medium">
        <color indexed="64"/>
      </right>
      <top style="medium">
        <color indexed="64"/>
      </top>
      <bottom style="medium">
        <color auto="1"/>
      </bottom>
      <diagonal/>
    </border>
    <border>
      <left style="thin">
        <color auto="1"/>
      </left>
      <right style="medium">
        <color auto="1"/>
      </right>
      <top style="medium">
        <color auto="1"/>
      </top>
      <bottom style="medium">
        <color auto="1"/>
      </bottom>
      <diagonal/>
    </border>
    <border>
      <left style="thin">
        <color auto="1"/>
      </left>
      <right/>
      <top style="medium">
        <color auto="1"/>
      </top>
      <bottom style="medium">
        <color auto="1"/>
      </bottom>
      <diagonal/>
    </border>
    <border>
      <left/>
      <right/>
      <top/>
      <bottom style="thin">
        <color indexed="64"/>
      </bottom>
      <diagonal/>
    </border>
    <border>
      <left style="medium">
        <color indexed="64"/>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75">
    <xf numFmtId="0" fontId="0" fillId="0" borderId="0"/>
    <xf numFmtId="43" fontId="17" fillId="0" borderId="0" applyFont="0" applyFill="0" applyBorder="0" applyAlignment="0" applyProtection="0"/>
    <xf numFmtId="9" fontId="17" fillId="0" borderId="0" applyFont="0" applyFill="0" applyBorder="0" applyAlignment="0" applyProtection="0"/>
    <xf numFmtId="0" fontId="18" fillId="0" borderId="0"/>
    <xf numFmtId="43" fontId="17" fillId="0" borderId="0" applyFont="0" applyFill="0" applyBorder="0" applyAlignment="0" applyProtection="0"/>
    <xf numFmtId="43" fontId="17" fillId="0" borderId="0" applyFont="0" applyFill="0" applyBorder="0" applyAlignment="0" applyProtection="0"/>
    <xf numFmtId="164" fontId="19" fillId="0" borderId="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0" fontId="34" fillId="0" borderId="83" applyNumberFormat="0" applyFill="0" applyAlignment="0" applyProtection="0"/>
    <xf numFmtId="0" fontId="35" fillId="0" borderId="84" applyNumberFormat="0" applyFill="0" applyAlignment="0" applyProtection="0"/>
    <xf numFmtId="0" fontId="36" fillId="0" borderId="85" applyNumberFormat="0" applyFill="0" applyAlignment="0" applyProtection="0"/>
    <xf numFmtId="0" fontId="36" fillId="0" borderId="0" applyNumberFormat="0" applyFill="0" applyBorder="0" applyAlignment="0" applyProtection="0"/>
    <xf numFmtId="0" fontId="37" fillId="15" borderId="0" applyNumberFormat="0" applyBorder="0" applyAlignment="0" applyProtection="0"/>
    <xf numFmtId="0" fontId="38" fillId="16" borderId="0" applyNumberFormat="0" applyBorder="0" applyAlignment="0" applyProtection="0"/>
    <xf numFmtId="0" fontId="39" fillId="17" borderId="0" applyNumberFormat="0" applyBorder="0" applyAlignment="0" applyProtection="0"/>
    <xf numFmtId="0" fontId="40" fillId="18" borderId="86" applyNumberFormat="0" applyAlignment="0" applyProtection="0"/>
    <xf numFmtId="0" fontId="41" fillId="19" borderId="87" applyNumberFormat="0" applyAlignment="0" applyProtection="0"/>
    <xf numFmtId="0" fontId="42" fillId="19" borderId="86" applyNumberFormat="0" applyAlignment="0" applyProtection="0"/>
    <xf numFmtId="0" fontId="43" fillId="0" borderId="88" applyNumberFormat="0" applyFill="0" applyAlignment="0" applyProtection="0"/>
    <xf numFmtId="0" fontId="44" fillId="20" borderId="89" applyNumberFormat="0" applyAlignment="0" applyProtection="0"/>
    <xf numFmtId="0" fontId="45" fillId="0" borderId="0" applyNumberFormat="0" applyFill="0" applyBorder="0" applyAlignment="0" applyProtection="0"/>
    <xf numFmtId="0" fontId="46" fillId="0" borderId="0" applyNumberFormat="0" applyFill="0" applyBorder="0" applyAlignment="0" applyProtection="0"/>
    <xf numFmtId="0" fontId="25" fillId="0" borderId="91" applyNumberFormat="0" applyFill="0" applyAlignment="0" applyProtection="0"/>
    <xf numFmtId="0" fontId="47"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47" fillId="25" borderId="0" applyNumberFormat="0" applyBorder="0" applyAlignment="0" applyProtection="0"/>
    <xf numFmtId="0" fontId="47"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47" fillId="29" borderId="0" applyNumberFormat="0" applyBorder="0" applyAlignment="0" applyProtection="0"/>
    <xf numFmtId="0" fontId="47"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47" fillId="33" borderId="0" applyNumberFormat="0" applyBorder="0" applyAlignment="0" applyProtection="0"/>
    <xf numFmtId="0" fontId="47"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47" fillId="37" borderId="0" applyNumberFormat="0" applyBorder="0" applyAlignment="0" applyProtection="0"/>
    <xf numFmtId="0" fontId="47" fillId="38"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47" fillId="41" borderId="0" applyNumberFormat="0" applyBorder="0" applyAlignment="0" applyProtection="0"/>
    <xf numFmtId="0" fontId="47" fillId="42" borderId="0" applyNumberFormat="0" applyBorder="0" applyAlignment="0" applyProtection="0"/>
    <xf numFmtId="0" fontId="1" fillId="43" borderId="0" applyNumberFormat="0" applyBorder="0" applyAlignment="0" applyProtection="0"/>
    <xf numFmtId="0" fontId="1" fillId="44" borderId="0" applyNumberFormat="0" applyBorder="0" applyAlignment="0" applyProtection="0"/>
    <xf numFmtId="0" fontId="47" fillId="45" borderId="0" applyNumberFormat="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48" fillId="0" borderId="0" applyNumberFormat="0" applyFill="0" applyBorder="0" applyAlignment="0" applyProtection="0"/>
    <xf numFmtId="0" fontId="1" fillId="21" borderId="90" applyNumberFormat="0" applyFont="0" applyAlignment="0" applyProtection="0"/>
    <xf numFmtId="43" fontId="1" fillId="0" borderId="0" applyFont="0" applyFill="0" applyBorder="0" applyAlignment="0" applyProtection="0"/>
    <xf numFmtId="0" fontId="49"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cellStyleXfs>
  <cellXfs count="558">
    <xf numFmtId="0" fontId="0" fillId="0" borderId="0" xfId="0"/>
    <xf numFmtId="0" fontId="4" fillId="0" borderId="0" xfId="0" applyFont="1"/>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vertical="center" wrapText="1"/>
    </xf>
    <xf numFmtId="165" fontId="4" fillId="0" borderId="4" xfId="0" applyNumberFormat="1" applyFont="1" applyBorder="1" applyAlignment="1">
      <alignment horizontal="center" vertical="center" wrapText="1"/>
    </xf>
    <xf numFmtId="0" fontId="7" fillId="0" borderId="0" xfId="0" applyFont="1" applyAlignment="1">
      <alignment vertical="center"/>
    </xf>
    <xf numFmtId="10" fontId="4" fillId="0" borderId="4" xfId="0" applyNumberFormat="1" applyFont="1" applyBorder="1" applyAlignment="1">
      <alignment horizontal="center" vertical="center" wrapText="1"/>
    </xf>
    <xf numFmtId="0" fontId="4" fillId="0" borderId="4" xfId="0" applyFont="1" applyBorder="1" applyAlignment="1">
      <alignment horizontal="center" vertical="center" wrapText="1"/>
    </xf>
    <xf numFmtId="9" fontId="4" fillId="5" borderId="4" xfId="0" applyNumberFormat="1" applyFont="1" applyFill="1" applyBorder="1" applyAlignment="1">
      <alignment horizontal="center" vertical="center" wrapText="1"/>
    </xf>
    <xf numFmtId="0" fontId="4" fillId="0" borderId="4" xfId="0" applyNumberFormat="1" applyFont="1" applyBorder="1" applyAlignment="1">
      <alignment horizontal="center" vertical="center" wrapText="1"/>
    </xf>
    <xf numFmtId="0" fontId="4" fillId="0" borderId="0" xfId="0" applyFont="1" applyAlignment="1">
      <alignment vertical="center"/>
    </xf>
    <xf numFmtId="0" fontId="4" fillId="0" borderId="4" xfId="0" applyFont="1" applyBorder="1" applyAlignment="1">
      <alignment horizontal="justify" vertical="center" wrapText="1"/>
    </xf>
    <xf numFmtId="0" fontId="7" fillId="0" borderId="2" xfId="0" applyFont="1" applyBorder="1" applyAlignment="1">
      <alignment vertical="center" wrapText="1"/>
    </xf>
    <xf numFmtId="9" fontId="4" fillId="0" borderId="4" xfId="0" applyNumberFormat="1" applyFont="1" applyBorder="1" applyAlignment="1">
      <alignment horizontal="center" vertical="center" wrapText="1"/>
    </xf>
    <xf numFmtId="0" fontId="7" fillId="0" borderId="3" xfId="0" applyFont="1" applyBorder="1" applyAlignment="1">
      <alignment horizontal="center" vertical="center" wrapText="1"/>
    </xf>
    <xf numFmtId="0" fontId="4" fillId="0" borderId="0" xfId="0" applyFont="1" applyAlignment="1">
      <alignment horizontal="center" vertical="center"/>
    </xf>
    <xf numFmtId="0" fontId="6" fillId="0" borderId="0" xfId="0" applyFont="1" applyAlignment="1">
      <alignment horizontal="center" vertical="center" wrapText="1"/>
    </xf>
    <xf numFmtId="0" fontId="7" fillId="3" borderId="7" xfId="0" applyFont="1" applyFill="1" applyBorder="1" applyAlignment="1">
      <alignment horizontal="center" vertical="center"/>
    </xf>
    <xf numFmtId="0" fontId="7" fillId="3" borderId="8" xfId="0" applyFont="1" applyFill="1" applyBorder="1" applyAlignment="1">
      <alignment horizontal="center" vertical="center"/>
    </xf>
    <xf numFmtId="0" fontId="4" fillId="0" borderId="9" xfId="0" applyFont="1" applyBorder="1" applyAlignment="1">
      <alignment horizontal="center" vertical="center"/>
    </xf>
    <xf numFmtId="0" fontId="4" fillId="0" borderId="11" xfId="0" applyFont="1" applyBorder="1" applyAlignment="1">
      <alignment horizontal="center" vertical="center"/>
    </xf>
    <xf numFmtId="166" fontId="7" fillId="0" borderId="12" xfId="0" applyNumberFormat="1" applyFont="1" applyBorder="1" applyAlignment="1">
      <alignment horizontal="center" vertical="center"/>
    </xf>
    <xf numFmtId="0" fontId="7" fillId="3" borderId="14" xfId="0" applyFont="1" applyFill="1" applyBorder="1" applyAlignment="1">
      <alignment horizontal="center" vertical="center"/>
    </xf>
    <xf numFmtId="0" fontId="7" fillId="3" borderId="15" xfId="0" applyFont="1" applyFill="1" applyBorder="1" applyAlignment="1">
      <alignment horizontal="center" vertical="center"/>
    </xf>
    <xf numFmtId="0" fontId="7" fillId="3" borderId="16" xfId="0" applyFont="1" applyFill="1" applyBorder="1" applyAlignment="1">
      <alignment horizontal="center" vertical="center"/>
    </xf>
    <xf numFmtId="0" fontId="4" fillId="0" borderId="17" xfId="0" applyFont="1" applyBorder="1" applyAlignment="1">
      <alignment horizontal="center" vertical="center"/>
    </xf>
    <xf numFmtId="166" fontId="4" fillId="0" borderId="18" xfId="0" applyNumberFormat="1" applyFont="1" applyBorder="1" applyAlignment="1">
      <alignment horizontal="center" vertical="center"/>
    </xf>
    <xf numFmtId="10" fontId="4" fillId="0" borderId="18" xfId="2" applyNumberFormat="1" applyFont="1" applyFill="1" applyBorder="1" applyAlignment="1">
      <alignment horizontal="center" vertical="center"/>
    </xf>
    <xf numFmtId="0" fontId="7" fillId="0" borderId="0" xfId="0" applyFont="1" applyAlignment="1">
      <alignment horizontal="center" vertical="center"/>
    </xf>
    <xf numFmtId="166" fontId="4" fillId="0" borderId="20" xfId="0" applyNumberFormat="1" applyFont="1" applyBorder="1" applyAlignment="1">
      <alignment horizontal="center" vertical="center"/>
    </xf>
    <xf numFmtId="10" fontId="4" fillId="0" borderId="20" xfId="2" applyNumberFormat="1" applyFont="1" applyFill="1" applyBorder="1" applyAlignment="1">
      <alignment horizontal="center" vertical="center"/>
    </xf>
    <xf numFmtId="0" fontId="7" fillId="3" borderId="21" xfId="0" applyFont="1" applyFill="1" applyBorder="1" applyAlignment="1">
      <alignment horizontal="center" vertical="center"/>
    </xf>
    <xf numFmtId="9" fontId="4" fillId="0" borderId="18" xfId="2" applyNumberFormat="1" applyFont="1" applyBorder="1" applyAlignment="1">
      <alignment horizontal="center" vertical="center"/>
    </xf>
    <xf numFmtId="166" fontId="7" fillId="0" borderId="19" xfId="0" applyNumberFormat="1" applyFont="1" applyBorder="1" applyAlignment="1">
      <alignment horizontal="center" vertical="center"/>
    </xf>
    <xf numFmtId="0" fontId="4" fillId="0" borderId="22" xfId="0" applyFont="1" applyBorder="1" applyAlignment="1">
      <alignment horizontal="center" vertical="center"/>
    </xf>
    <xf numFmtId="166" fontId="4" fillId="0" borderId="23" xfId="0" applyNumberFormat="1" applyFont="1" applyBorder="1" applyAlignment="1">
      <alignment horizontal="center" vertical="center"/>
    </xf>
    <xf numFmtId="9" fontId="4" fillId="0" borderId="23" xfId="2" applyFont="1" applyBorder="1" applyAlignment="1">
      <alignment horizontal="center" vertical="center"/>
    </xf>
    <xf numFmtId="166" fontId="7" fillId="0" borderId="24" xfId="0" applyNumberFormat="1" applyFont="1" applyBorder="1" applyAlignment="1">
      <alignment horizontal="center" vertical="center"/>
    </xf>
    <xf numFmtId="9" fontId="4" fillId="0" borderId="20" xfId="2" applyFont="1" applyBorder="1" applyAlignment="1">
      <alignment horizontal="center" vertical="center"/>
    </xf>
    <xf numFmtId="10" fontId="4" fillId="0" borderId="18" xfId="2" applyNumberFormat="1" applyFont="1" applyBorder="1" applyAlignment="1">
      <alignment horizontal="center" vertical="center"/>
    </xf>
    <xf numFmtId="9" fontId="4" fillId="0" borderId="20" xfId="2" applyNumberFormat="1" applyFont="1" applyBorder="1" applyAlignment="1">
      <alignment horizontal="center" vertical="center"/>
    </xf>
    <xf numFmtId="9" fontId="4" fillId="0" borderId="18" xfId="2" applyFont="1" applyBorder="1" applyAlignment="1">
      <alignment horizontal="center" vertical="center"/>
    </xf>
    <xf numFmtId="0" fontId="7" fillId="3" borderId="15" xfId="0" applyFont="1" applyFill="1" applyBorder="1" applyAlignment="1">
      <alignment horizontal="center" vertical="center" wrapText="1"/>
    </xf>
    <xf numFmtId="0" fontId="7" fillId="3" borderId="21" xfId="0" applyFont="1" applyFill="1" applyBorder="1" applyAlignment="1">
      <alignment horizontal="center" vertical="center" wrapText="1"/>
    </xf>
    <xf numFmtId="0" fontId="4" fillId="0" borderId="18" xfId="0" applyFont="1" applyBorder="1" applyAlignment="1">
      <alignment horizontal="center" vertical="center"/>
    </xf>
    <xf numFmtId="4" fontId="4" fillId="0" borderId="23" xfId="0" applyNumberFormat="1" applyFont="1" applyBorder="1" applyAlignment="1">
      <alignment horizontal="center" vertical="center"/>
    </xf>
    <xf numFmtId="0" fontId="4" fillId="0" borderId="27" xfId="0" applyFont="1" applyBorder="1" applyAlignment="1">
      <alignment horizontal="center" vertical="center"/>
    </xf>
    <xf numFmtId="0" fontId="4" fillId="0" borderId="20" xfId="0" applyFont="1" applyBorder="1" applyAlignment="1">
      <alignment horizontal="center" vertical="center"/>
    </xf>
    <xf numFmtId="0" fontId="7" fillId="3" borderId="7" xfId="0" applyFont="1" applyFill="1" applyBorder="1" applyAlignment="1">
      <alignment horizontal="center" vertical="center" wrapText="1"/>
    </xf>
    <xf numFmtId="0" fontId="6" fillId="0" borderId="0" xfId="0" applyFont="1" applyAlignment="1">
      <alignment horizontal="center" vertical="center"/>
    </xf>
    <xf numFmtId="0" fontId="7" fillId="3" borderId="28" xfId="0" applyFont="1" applyFill="1" applyBorder="1" applyAlignment="1">
      <alignment horizontal="center" vertical="center"/>
    </xf>
    <xf numFmtId="0" fontId="7" fillId="3" borderId="29" xfId="0" applyFont="1" applyFill="1" applyBorder="1" applyAlignment="1">
      <alignment horizontal="center" vertical="center"/>
    </xf>
    <xf numFmtId="0" fontId="7" fillId="3" borderId="29" xfId="0" applyFont="1" applyFill="1" applyBorder="1" applyAlignment="1">
      <alignment horizontal="center" vertical="center" wrapText="1"/>
    </xf>
    <xf numFmtId="0" fontId="7" fillId="3" borderId="30" xfId="0" applyFont="1" applyFill="1" applyBorder="1" applyAlignment="1">
      <alignment horizontal="center" vertical="center"/>
    </xf>
    <xf numFmtId="10" fontId="4" fillId="0" borderId="23" xfId="0" applyNumberFormat="1" applyFont="1" applyBorder="1" applyAlignment="1">
      <alignment horizontal="center" vertical="center"/>
    </xf>
    <xf numFmtId="10" fontId="4" fillId="0" borderId="20" xfId="0" applyNumberFormat="1" applyFont="1" applyBorder="1" applyAlignment="1">
      <alignment horizontal="center" vertical="center"/>
    </xf>
    <xf numFmtId="0" fontId="7" fillId="3" borderId="5"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7" fillId="3" borderId="2" xfId="0" applyFont="1" applyFill="1" applyBorder="1" applyAlignment="1">
      <alignment horizontal="center" vertical="center" wrapText="1"/>
    </xf>
    <xf numFmtId="10" fontId="4" fillId="0" borderId="19" xfId="2" applyNumberFormat="1" applyFont="1" applyBorder="1" applyAlignment="1">
      <alignment horizontal="center" vertical="center"/>
    </xf>
    <xf numFmtId="10" fontId="4" fillId="0" borderId="24" xfId="2" applyNumberFormat="1" applyFont="1" applyBorder="1" applyAlignment="1">
      <alignment horizontal="center" vertical="center"/>
    </xf>
    <xf numFmtId="10" fontId="4" fillId="5" borderId="24" xfId="2" applyNumberFormat="1" applyFont="1" applyFill="1" applyBorder="1" applyAlignment="1">
      <alignment horizontal="center" vertical="center"/>
    </xf>
    <xf numFmtId="10" fontId="4" fillId="0" borderId="12" xfId="2" applyNumberFormat="1" applyFont="1" applyBorder="1" applyAlignment="1">
      <alignment horizontal="center" vertical="center"/>
    </xf>
    <xf numFmtId="0" fontId="7" fillId="6" borderId="31" xfId="0" applyFont="1" applyFill="1" applyBorder="1" applyAlignment="1">
      <alignment horizontal="center" vertical="center"/>
    </xf>
    <xf numFmtId="10" fontId="7" fillId="6" borderId="32" xfId="2" applyNumberFormat="1" applyFont="1" applyFill="1" applyBorder="1" applyAlignment="1">
      <alignment horizontal="center" vertical="center"/>
    </xf>
    <xf numFmtId="10" fontId="4" fillId="5" borderId="18" xfId="0" applyNumberFormat="1" applyFont="1" applyFill="1" applyBorder="1" applyAlignment="1">
      <alignment horizontal="center" vertical="center"/>
    </xf>
    <xf numFmtId="10" fontId="4" fillId="5" borderId="23" xfId="0" applyNumberFormat="1" applyFont="1" applyFill="1" applyBorder="1" applyAlignment="1">
      <alignment horizontal="center" vertical="center"/>
    </xf>
    <xf numFmtId="1" fontId="4" fillId="0" borderId="18" xfId="0" applyNumberFormat="1" applyFont="1" applyBorder="1" applyAlignment="1">
      <alignment horizontal="center" vertical="center"/>
    </xf>
    <xf numFmtId="1" fontId="4" fillId="0" borderId="23" xfId="0" applyNumberFormat="1" applyFont="1" applyBorder="1" applyAlignment="1">
      <alignment horizontal="center" vertical="center"/>
    </xf>
    <xf numFmtId="1" fontId="4" fillId="0" borderId="20" xfId="0" applyNumberFormat="1" applyFont="1" applyBorder="1" applyAlignment="1">
      <alignment horizontal="center" vertical="center"/>
    </xf>
    <xf numFmtId="0" fontId="4" fillId="0" borderId="0" xfId="0" applyFont="1" applyAlignment="1">
      <alignment horizontal="center" vertical="center" wrapText="1"/>
    </xf>
    <xf numFmtId="166" fontId="4" fillId="0" borderId="0" xfId="0" applyNumberFormat="1" applyFont="1" applyAlignment="1">
      <alignment horizontal="center" vertical="center"/>
    </xf>
    <xf numFmtId="166" fontId="7" fillId="0" borderId="0" xfId="0" applyNumberFormat="1" applyFont="1" applyAlignment="1">
      <alignment horizontal="center" vertical="center"/>
    </xf>
    <xf numFmtId="0" fontId="7" fillId="3" borderId="33" xfId="0" applyFont="1" applyFill="1" applyBorder="1" applyAlignment="1">
      <alignment horizontal="center" vertical="center"/>
    </xf>
    <xf numFmtId="0" fontId="10" fillId="0" borderId="11" xfId="0" applyFont="1" applyBorder="1" applyAlignment="1">
      <alignment horizontal="center" vertical="center"/>
    </xf>
    <xf numFmtId="0" fontId="7" fillId="3" borderId="14" xfId="0" applyFont="1" applyFill="1" applyBorder="1" applyAlignment="1">
      <alignment horizontal="center" vertical="center" wrapText="1"/>
    </xf>
    <xf numFmtId="0" fontId="4" fillId="0" borderId="9" xfId="0" applyFont="1" applyBorder="1" applyAlignment="1">
      <alignment horizontal="center" vertical="center" wrapText="1"/>
    </xf>
    <xf numFmtId="10" fontId="4" fillId="0" borderId="10" xfId="2" applyNumberFormat="1" applyFont="1" applyFill="1" applyBorder="1" applyAlignment="1">
      <alignment horizontal="center" vertical="center"/>
    </xf>
    <xf numFmtId="0" fontId="4" fillId="7" borderId="22" xfId="0" applyFont="1" applyFill="1" applyBorder="1" applyAlignment="1">
      <alignment horizontal="center" vertical="center" wrapText="1"/>
    </xf>
    <xf numFmtId="10" fontId="4" fillId="7" borderId="24" xfId="2" applyNumberFormat="1" applyFont="1" applyFill="1" applyBorder="1" applyAlignment="1">
      <alignment horizontal="center" vertical="center"/>
    </xf>
    <xf numFmtId="0" fontId="4" fillId="0" borderId="22" xfId="0" applyFont="1" applyBorder="1" applyAlignment="1">
      <alignment horizontal="center" vertical="center" wrapText="1"/>
    </xf>
    <xf numFmtId="10" fontId="4" fillId="0" borderId="24" xfId="2" applyNumberFormat="1" applyFont="1" applyFill="1" applyBorder="1" applyAlignment="1">
      <alignment horizontal="center" vertical="center"/>
    </xf>
    <xf numFmtId="0" fontId="4" fillId="0" borderId="27" xfId="0" applyFont="1" applyBorder="1" applyAlignment="1">
      <alignment horizontal="center" vertical="center" wrapText="1"/>
    </xf>
    <xf numFmtId="10" fontId="4" fillId="0" borderId="26" xfId="2" applyNumberFormat="1" applyFont="1" applyFill="1" applyBorder="1" applyAlignment="1">
      <alignment horizontal="center" vertical="center"/>
    </xf>
    <xf numFmtId="10" fontId="7" fillId="3" borderId="8" xfId="0" applyNumberFormat="1" applyFont="1" applyFill="1" applyBorder="1" applyAlignment="1">
      <alignment horizontal="center" vertical="center"/>
    </xf>
    <xf numFmtId="0" fontId="4" fillId="0" borderId="23" xfId="0" applyFont="1" applyBorder="1" applyAlignment="1">
      <alignment horizontal="center" vertical="center"/>
    </xf>
    <xf numFmtId="0" fontId="7" fillId="0" borderId="0" xfId="0" applyFont="1" applyFill="1" applyBorder="1" applyAlignment="1">
      <alignment vertical="center"/>
    </xf>
    <xf numFmtId="0" fontId="7" fillId="3" borderId="33"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4" fillId="0" borderId="17" xfId="0" applyFont="1" applyBorder="1" applyAlignment="1">
      <alignment horizontal="center" vertical="center" wrapText="1"/>
    </xf>
    <xf numFmtId="167" fontId="4" fillId="0" borderId="18" xfId="0" applyNumberFormat="1" applyFont="1" applyFill="1" applyBorder="1" applyAlignment="1">
      <alignment horizontal="center" vertical="center" wrapText="1"/>
    </xf>
    <xf numFmtId="0" fontId="4" fillId="0" borderId="34" xfId="0" applyFont="1" applyBorder="1" applyAlignment="1">
      <alignment horizontal="center" vertical="center" wrapText="1"/>
    </xf>
    <xf numFmtId="9" fontId="4" fillId="0" borderId="17" xfId="2" applyFont="1" applyBorder="1" applyAlignment="1">
      <alignment horizontal="center" vertical="center" wrapText="1"/>
    </xf>
    <xf numFmtId="168" fontId="7" fillId="0" borderId="19" xfId="1" applyNumberFormat="1" applyFont="1" applyBorder="1" applyAlignment="1">
      <alignment horizontal="center" vertical="center" wrapText="1"/>
    </xf>
    <xf numFmtId="10" fontId="4" fillId="0" borderId="40" xfId="2" applyNumberFormat="1" applyFont="1" applyBorder="1" applyAlignment="1">
      <alignment horizontal="center" vertical="center" wrapText="1"/>
    </xf>
    <xf numFmtId="10" fontId="4" fillId="0" borderId="17" xfId="2" applyNumberFormat="1" applyFont="1" applyBorder="1" applyAlignment="1">
      <alignment horizontal="center" vertical="center" wrapText="1"/>
    </xf>
    <xf numFmtId="167" fontId="4" fillId="0" borderId="23" xfId="0" applyNumberFormat="1" applyFont="1" applyFill="1" applyBorder="1" applyAlignment="1">
      <alignment horizontal="center" vertical="center" wrapText="1"/>
    </xf>
    <xf numFmtId="0" fontId="4" fillId="0" borderId="35" xfId="0" applyFont="1" applyBorder="1" applyAlignment="1">
      <alignment horizontal="center" vertical="center" wrapText="1"/>
    </xf>
    <xf numFmtId="9" fontId="4" fillId="0" borderId="22" xfId="2" applyFont="1" applyBorder="1" applyAlignment="1">
      <alignment horizontal="center" vertical="center" wrapText="1"/>
    </xf>
    <xf numFmtId="168" fontId="7" fillId="0" borderId="24" xfId="1" applyNumberFormat="1" applyFont="1" applyBorder="1" applyAlignment="1">
      <alignment horizontal="center" vertical="center" wrapText="1"/>
    </xf>
    <xf numFmtId="10" fontId="4" fillId="0" borderId="41" xfId="2" applyNumberFormat="1" applyFont="1" applyBorder="1" applyAlignment="1">
      <alignment horizontal="center" vertical="center" wrapText="1"/>
    </xf>
    <xf numFmtId="10" fontId="4" fillId="0" borderId="22" xfId="2" applyNumberFormat="1" applyFont="1" applyBorder="1" applyAlignment="1">
      <alignment horizontal="center" vertical="center" wrapText="1"/>
    </xf>
    <xf numFmtId="167" fontId="4" fillId="0" borderId="25" xfId="0" applyNumberFormat="1" applyFont="1" applyFill="1" applyBorder="1" applyAlignment="1">
      <alignment horizontal="center" vertical="center" wrapText="1"/>
    </xf>
    <xf numFmtId="0" fontId="4" fillId="0" borderId="36" xfId="0" applyFont="1" applyBorder="1" applyAlignment="1">
      <alignment horizontal="center" vertical="center" wrapText="1"/>
    </xf>
    <xf numFmtId="9" fontId="4" fillId="0" borderId="27" xfId="2" applyFont="1" applyBorder="1" applyAlignment="1">
      <alignment horizontal="center" vertical="center" wrapText="1"/>
    </xf>
    <xf numFmtId="168" fontId="7" fillId="0" borderId="26" xfId="1" applyNumberFormat="1" applyFont="1" applyBorder="1" applyAlignment="1">
      <alignment horizontal="center" vertical="center" wrapText="1"/>
    </xf>
    <xf numFmtId="10" fontId="4" fillId="0" borderId="42" xfId="2" applyNumberFormat="1" applyFont="1" applyBorder="1" applyAlignment="1">
      <alignment horizontal="center" vertical="center" wrapText="1"/>
    </xf>
    <xf numFmtId="10" fontId="4" fillId="0" borderId="27" xfId="2" applyNumberFormat="1" applyFont="1" applyBorder="1" applyAlignment="1">
      <alignment horizontal="center" vertical="center" wrapText="1"/>
    </xf>
    <xf numFmtId="9" fontId="4" fillId="0" borderId="23" xfId="0" applyNumberFormat="1" applyFont="1" applyBorder="1" applyAlignment="1">
      <alignment horizontal="center" vertical="center"/>
    </xf>
    <xf numFmtId="167" fontId="4" fillId="0" borderId="23" xfId="0" applyNumberFormat="1" applyFont="1" applyBorder="1" applyAlignment="1">
      <alignment horizontal="center" vertical="center"/>
    </xf>
    <xf numFmtId="0" fontId="4" fillId="0" borderId="43" xfId="0" applyFont="1" applyBorder="1" applyAlignment="1">
      <alignment horizontal="center" vertical="center"/>
    </xf>
    <xf numFmtId="0" fontId="7" fillId="3" borderId="0" xfId="0" applyFont="1" applyFill="1" applyAlignment="1">
      <alignment horizontal="center" vertical="center" wrapText="1"/>
    </xf>
    <xf numFmtId="0" fontId="7" fillId="3" borderId="8" xfId="0" applyFont="1" applyFill="1" applyBorder="1" applyAlignment="1">
      <alignment horizontal="center" vertical="center" wrapText="1"/>
    </xf>
    <xf numFmtId="167" fontId="4" fillId="0" borderId="18" xfId="0" applyNumberFormat="1" applyFont="1" applyBorder="1" applyAlignment="1">
      <alignment horizontal="center" vertical="center" wrapText="1"/>
    </xf>
    <xf numFmtId="167" fontId="4" fillId="0" borderId="19" xfId="0" applyNumberFormat="1" applyFont="1" applyBorder="1" applyAlignment="1">
      <alignment horizontal="center" vertical="center" wrapText="1"/>
    </xf>
    <xf numFmtId="167" fontId="4" fillId="0" borderId="23" xfId="0" applyNumberFormat="1" applyFont="1" applyBorder="1" applyAlignment="1">
      <alignment horizontal="center" vertical="center" wrapText="1"/>
    </xf>
    <xf numFmtId="167" fontId="4" fillId="0" borderId="24" xfId="0" applyNumberFormat="1" applyFont="1" applyBorder="1" applyAlignment="1">
      <alignment horizontal="center" vertical="center" wrapText="1"/>
    </xf>
    <xf numFmtId="167" fontId="4" fillId="0" borderId="25" xfId="0" applyNumberFormat="1" applyFont="1" applyBorder="1" applyAlignment="1">
      <alignment horizontal="center" vertical="center" wrapText="1"/>
    </xf>
    <xf numFmtId="167" fontId="4" fillId="0" borderId="26" xfId="0" applyNumberFormat="1" applyFont="1" applyBorder="1" applyAlignment="1">
      <alignment horizontal="center" vertical="center" wrapText="1"/>
    </xf>
    <xf numFmtId="167" fontId="7" fillId="3" borderId="21" xfId="0" applyNumberFormat="1" applyFont="1" applyFill="1" applyBorder="1" applyAlignment="1">
      <alignment horizontal="center" vertical="center" wrapText="1"/>
    </xf>
    <xf numFmtId="167" fontId="7" fillId="3" borderId="8" xfId="0" applyNumberFormat="1" applyFont="1" applyFill="1" applyBorder="1" applyAlignment="1">
      <alignment horizontal="center" vertical="center" wrapText="1"/>
    </xf>
    <xf numFmtId="0" fontId="11" fillId="0" borderId="0" xfId="0" applyFont="1" applyFill="1" applyBorder="1" applyAlignment="1">
      <alignment vertical="center"/>
    </xf>
    <xf numFmtId="0" fontId="11" fillId="9" borderId="39" xfId="0" applyFont="1" applyFill="1" applyBorder="1" applyAlignment="1">
      <alignment horizontal="center" vertical="center"/>
    </xf>
    <xf numFmtId="164" fontId="11" fillId="9" borderId="39" xfId="6" applyFont="1" applyFill="1" applyBorder="1" applyAlignment="1" applyProtection="1">
      <alignment horizontal="center" vertical="center"/>
    </xf>
    <xf numFmtId="164" fontId="11" fillId="9" borderId="1" xfId="6" applyFont="1" applyFill="1" applyBorder="1" applyAlignment="1" applyProtection="1">
      <alignment horizontal="center" vertical="center"/>
    </xf>
    <xf numFmtId="0" fontId="7" fillId="3" borderId="1" xfId="0" applyFont="1" applyFill="1" applyBorder="1" applyAlignment="1">
      <alignment horizontal="center" vertical="center"/>
    </xf>
    <xf numFmtId="0" fontId="12" fillId="0" borderId="23" xfId="0" applyFont="1" applyBorder="1" applyAlignment="1">
      <alignment horizontal="left" vertical="top" wrapText="1"/>
    </xf>
    <xf numFmtId="0" fontId="0" fillId="0" borderId="23" xfId="0" applyBorder="1"/>
    <xf numFmtId="0" fontId="4" fillId="0" borderId="0" xfId="0" applyFont="1" applyBorder="1" applyAlignment="1">
      <alignment horizontal="center" vertical="center"/>
    </xf>
    <xf numFmtId="164" fontId="4" fillId="0" borderId="0" xfId="6" applyFont="1" applyFill="1" applyBorder="1" applyAlignment="1" applyProtection="1">
      <alignment horizontal="center" vertical="center"/>
    </xf>
    <xf numFmtId="164" fontId="4" fillId="0" borderId="0" xfId="0" applyNumberFormat="1" applyFont="1" applyBorder="1" applyAlignment="1">
      <alignment horizontal="center" vertical="center"/>
    </xf>
    <xf numFmtId="0" fontId="11" fillId="0" borderId="0" xfId="0" applyFont="1" applyFill="1" applyBorder="1" applyAlignment="1">
      <alignment horizontal="center" vertical="center"/>
    </xf>
    <xf numFmtId="0" fontId="11" fillId="9" borderId="14" xfId="0" applyFont="1" applyFill="1" applyBorder="1" applyAlignment="1">
      <alignment horizontal="center" vertical="center"/>
    </xf>
    <xf numFmtId="0" fontId="11" fillId="9" borderId="15" xfId="0" applyFont="1" applyFill="1" applyBorder="1" applyAlignment="1">
      <alignment horizontal="center" vertical="center"/>
    </xf>
    <xf numFmtId="0" fontId="11" fillId="9" borderId="16" xfId="0" applyFont="1" applyFill="1" applyBorder="1" applyAlignment="1">
      <alignment horizontal="center" vertical="center"/>
    </xf>
    <xf numFmtId="0" fontId="4" fillId="0" borderId="0" xfId="0" applyFont="1" applyFill="1" applyBorder="1" applyAlignment="1">
      <alignment horizontal="center" vertical="center"/>
    </xf>
    <xf numFmtId="4" fontId="4" fillId="0" borderId="20" xfId="6" applyNumberFormat="1" applyFont="1" applyFill="1" applyBorder="1" applyAlignment="1" applyProtection="1">
      <alignment horizontal="center" vertical="center"/>
    </xf>
    <xf numFmtId="4" fontId="11" fillId="0" borderId="12" xfId="6" applyNumberFormat="1" applyFont="1" applyFill="1" applyBorder="1" applyAlignment="1" applyProtection="1">
      <alignment horizontal="center" vertical="center"/>
    </xf>
    <xf numFmtId="0" fontId="15" fillId="0" borderId="9" xfId="0" applyFont="1" applyBorder="1" applyAlignment="1">
      <alignment horizontal="center" vertical="center"/>
    </xf>
    <xf numFmtId="1" fontId="15" fillId="0" borderId="38" xfId="6" applyNumberFormat="1" applyFont="1" applyBorder="1" applyAlignment="1">
      <alignment horizontal="center" vertical="center"/>
    </xf>
    <xf numFmtId="2" fontId="15" fillId="0" borderId="38" xfId="6" applyNumberFormat="1" applyFont="1" applyBorder="1" applyAlignment="1">
      <alignment horizontal="center" vertical="center"/>
    </xf>
    <xf numFmtId="4" fontId="15" fillId="0" borderId="38" xfId="6" applyNumberFormat="1" applyFont="1" applyBorder="1" applyAlignment="1">
      <alignment horizontal="center" vertical="center"/>
    </xf>
    <xf numFmtId="4" fontId="4" fillId="0" borderId="10" xfId="0" applyNumberFormat="1" applyFont="1" applyBorder="1" applyAlignment="1">
      <alignment horizontal="center" vertical="center"/>
    </xf>
    <xf numFmtId="0" fontId="15" fillId="0" borderId="22" xfId="0" applyFont="1" applyBorder="1" applyAlignment="1">
      <alignment horizontal="center" vertical="center"/>
    </xf>
    <xf numFmtId="4" fontId="15" fillId="10" borderId="23" xfId="6" applyNumberFormat="1" applyFont="1" applyFill="1" applyBorder="1" applyAlignment="1">
      <alignment horizontal="center" vertical="center"/>
    </xf>
    <xf numFmtId="1" fontId="15" fillId="0" borderId="23" xfId="6" applyNumberFormat="1" applyFont="1" applyBorder="1" applyAlignment="1">
      <alignment horizontal="center" vertical="center"/>
    </xf>
    <xf numFmtId="2" fontId="15" fillId="0" borderId="23" xfId="6" applyNumberFormat="1" applyFont="1" applyBorder="1" applyAlignment="1">
      <alignment horizontal="center" vertical="center"/>
    </xf>
    <xf numFmtId="4" fontId="4" fillId="0" borderId="24" xfId="0" applyNumberFormat="1" applyFont="1" applyBorder="1" applyAlignment="1">
      <alignment horizontal="center" vertical="center"/>
    </xf>
    <xf numFmtId="4" fontId="7" fillId="0" borderId="24" xfId="0" applyNumberFormat="1" applyFont="1" applyBorder="1" applyAlignment="1">
      <alignment horizontal="center" vertical="center"/>
    </xf>
    <xf numFmtId="0" fontId="15" fillId="0" borderId="22" xfId="0" applyFont="1" applyBorder="1" applyAlignment="1">
      <alignment horizontal="center" vertical="center" wrapText="1"/>
    </xf>
    <xf numFmtId="0" fontId="10" fillId="0" borderId="22" xfId="0" applyFont="1" applyFill="1" applyBorder="1" applyAlignment="1">
      <alignment horizontal="center" vertical="center"/>
    </xf>
    <xf numFmtId="2" fontId="4" fillId="0" borderId="23" xfId="0" applyNumberFormat="1" applyFont="1" applyBorder="1" applyAlignment="1">
      <alignment horizontal="center" vertical="center"/>
    </xf>
    <xf numFmtId="0" fontId="15" fillId="0" borderId="27" xfId="0" applyFont="1" applyBorder="1" applyAlignment="1">
      <alignment horizontal="center" vertical="center"/>
    </xf>
    <xf numFmtId="4" fontId="15" fillId="10" borderId="25" xfId="6" applyNumberFormat="1" applyFont="1" applyFill="1" applyBorder="1" applyAlignment="1">
      <alignment horizontal="center" vertical="center"/>
    </xf>
    <xf numFmtId="1" fontId="15" fillId="0" borderId="25" xfId="6" applyNumberFormat="1" applyFont="1" applyBorder="1" applyAlignment="1">
      <alignment horizontal="center" vertical="center"/>
    </xf>
    <xf numFmtId="2" fontId="15" fillId="0" borderId="25" xfId="6" applyNumberFormat="1" applyFont="1" applyBorder="1" applyAlignment="1">
      <alignment horizontal="center" vertical="center"/>
    </xf>
    <xf numFmtId="4" fontId="4" fillId="0" borderId="36" xfId="0" applyNumberFormat="1" applyFont="1" applyBorder="1" applyAlignment="1">
      <alignment horizontal="center" vertical="center"/>
    </xf>
    <xf numFmtId="4" fontId="4" fillId="0" borderId="26" xfId="0" applyNumberFormat="1" applyFont="1" applyBorder="1" applyAlignment="1">
      <alignment horizontal="center" vertical="center"/>
    </xf>
    <xf numFmtId="4" fontId="15" fillId="0" borderId="25" xfId="6" applyNumberFormat="1" applyFont="1" applyBorder="1" applyAlignment="1">
      <alignment horizontal="center" vertical="center"/>
    </xf>
    <xf numFmtId="4" fontId="15" fillId="0" borderId="23" xfId="6" applyNumberFormat="1" applyFont="1" applyBorder="1" applyAlignment="1">
      <alignment horizontal="center" vertical="center"/>
    </xf>
    <xf numFmtId="4" fontId="11" fillId="9" borderId="4" xfId="0" applyNumberFormat="1" applyFont="1" applyFill="1" applyBorder="1" applyAlignment="1">
      <alignment horizontal="center" vertical="center"/>
    </xf>
    <xf numFmtId="4" fontId="7" fillId="3" borderId="3" xfId="0" applyNumberFormat="1" applyFont="1" applyFill="1" applyBorder="1" applyAlignment="1">
      <alignment horizontal="center" vertical="center"/>
    </xf>
    <xf numFmtId="0" fontId="11" fillId="9" borderId="7" xfId="0" applyFont="1" applyFill="1" applyBorder="1" applyAlignment="1">
      <alignment horizontal="center" vertical="center"/>
    </xf>
    <xf numFmtId="0" fontId="11" fillId="9" borderId="21" xfId="0" applyFont="1" applyFill="1" applyBorder="1" applyAlignment="1">
      <alignment horizontal="center" vertical="center"/>
    </xf>
    <xf numFmtId="164" fontId="11" fillId="9" borderId="8" xfId="0" applyNumberFormat="1" applyFont="1" applyFill="1" applyBorder="1" applyAlignment="1">
      <alignment horizontal="center" vertical="center" wrapText="1"/>
    </xf>
    <xf numFmtId="0" fontId="11" fillId="11" borderId="14" xfId="0" applyFont="1" applyFill="1" applyBorder="1" applyAlignment="1">
      <alignment horizontal="center" vertical="center"/>
    </xf>
    <xf numFmtId="0" fontId="11" fillId="11" borderId="15" xfId="0" applyFont="1" applyFill="1" applyBorder="1" applyAlignment="1">
      <alignment horizontal="center" vertical="center" wrapText="1"/>
    </xf>
    <xf numFmtId="0" fontId="11" fillId="11" borderId="16" xfId="0" applyFont="1" applyFill="1" applyBorder="1" applyAlignment="1">
      <alignment horizontal="center" vertical="center"/>
    </xf>
    <xf numFmtId="0" fontId="10" fillId="0" borderId="22" xfId="0" applyFont="1" applyBorder="1" applyAlignment="1">
      <alignment horizontal="center" vertical="center"/>
    </xf>
    <xf numFmtId="10" fontId="10" fillId="0" borderId="24" xfId="2" applyNumberFormat="1" applyFont="1" applyBorder="1" applyAlignment="1">
      <alignment horizontal="center" vertical="center"/>
    </xf>
    <xf numFmtId="10" fontId="10" fillId="0" borderId="12" xfId="2" applyNumberFormat="1" applyFont="1" applyBorder="1" applyAlignment="1">
      <alignment horizontal="center" vertical="center"/>
    </xf>
    <xf numFmtId="10" fontId="4" fillId="0" borderId="18" xfId="2" applyNumberFormat="1" applyFont="1" applyFill="1" applyBorder="1" applyAlignment="1" applyProtection="1">
      <alignment horizontal="center" vertical="center"/>
    </xf>
    <xf numFmtId="10" fontId="4" fillId="0" borderId="23" xfId="2" applyNumberFormat="1" applyFont="1" applyFill="1" applyBorder="1" applyAlignment="1" applyProtection="1">
      <alignment horizontal="center" vertical="center"/>
    </xf>
    <xf numFmtId="0" fontId="7" fillId="3" borderId="57" xfId="0" applyFont="1" applyFill="1" applyBorder="1" applyAlignment="1">
      <alignment horizontal="center" vertical="center"/>
    </xf>
    <xf numFmtId="0" fontId="4" fillId="12" borderId="23" xfId="0" applyFont="1" applyFill="1" applyBorder="1" applyAlignment="1">
      <alignment horizontal="center" vertical="center"/>
    </xf>
    <xf numFmtId="0" fontId="7" fillId="12" borderId="23" xfId="0" applyFont="1" applyFill="1" applyBorder="1" applyAlignment="1">
      <alignment horizontal="center" vertical="center"/>
    </xf>
    <xf numFmtId="0" fontId="16" fillId="0" borderId="11" xfId="0" applyFont="1" applyBorder="1" applyAlignment="1">
      <alignment horizontal="center" vertical="center" wrapText="1"/>
    </xf>
    <xf numFmtId="0" fontId="13" fillId="9" borderId="61" xfId="0" applyFont="1" applyFill="1" applyBorder="1" applyAlignment="1">
      <alignment horizontal="center" vertical="center"/>
    </xf>
    <xf numFmtId="0" fontId="13" fillId="9" borderId="62" xfId="0" applyFont="1" applyFill="1" applyBorder="1" applyAlignment="1">
      <alignment horizontal="center" vertical="center"/>
    </xf>
    <xf numFmtId="0" fontId="13" fillId="9" borderId="62" xfId="0" applyFont="1" applyFill="1" applyBorder="1" applyAlignment="1">
      <alignment horizontal="center" vertical="center" wrapText="1"/>
    </xf>
    <xf numFmtId="0" fontId="14" fillId="3" borderId="63" xfId="0" applyFont="1" applyFill="1" applyBorder="1" applyAlignment="1">
      <alignment horizontal="center" vertical="center"/>
    </xf>
    <xf numFmtId="0" fontId="7" fillId="3" borderId="64" xfId="0" applyFont="1" applyFill="1" applyBorder="1" applyAlignment="1">
      <alignment horizontal="center" vertical="center"/>
    </xf>
    <xf numFmtId="165" fontId="4" fillId="0" borderId="4" xfId="0" applyNumberFormat="1" applyFont="1" applyBorder="1" applyAlignment="1">
      <alignment vertical="center" wrapText="1"/>
    </xf>
    <xf numFmtId="44" fontId="4" fillId="0" borderId="4" xfId="12" applyFont="1" applyBorder="1" applyAlignment="1">
      <alignment horizontal="center" vertical="center" wrapText="1"/>
    </xf>
    <xf numFmtId="0" fontId="4" fillId="8" borderId="0" xfId="0" applyFont="1" applyFill="1" applyAlignment="1">
      <alignment horizontal="center" vertical="center"/>
    </xf>
    <xf numFmtId="0" fontId="0" fillId="0" borderId="23" xfId="0" applyBorder="1" applyAlignment="1">
      <alignment vertical="center"/>
    </xf>
    <xf numFmtId="44" fontId="0" fillId="0" borderId="23" xfId="12" applyFont="1" applyBorder="1" applyAlignment="1">
      <alignment vertical="center"/>
    </xf>
    <xf numFmtId="44" fontId="0" fillId="0" borderId="23" xfId="0" applyNumberFormat="1" applyBorder="1" applyAlignment="1">
      <alignment vertical="center"/>
    </xf>
    <xf numFmtId="0" fontId="0" fillId="13" borderId="23" xfId="0" applyFill="1" applyBorder="1" applyAlignment="1">
      <alignment vertical="center"/>
    </xf>
    <xf numFmtId="44" fontId="0" fillId="13" borderId="23" xfId="0" applyNumberFormat="1" applyFill="1" applyBorder="1" applyAlignment="1">
      <alignment vertical="center"/>
    </xf>
    <xf numFmtId="0" fontId="20" fillId="13" borderId="23" xfId="0" applyFont="1" applyFill="1" applyBorder="1" applyAlignment="1">
      <alignment vertical="center"/>
    </xf>
    <xf numFmtId="44" fontId="4" fillId="0" borderId="23" xfId="12" applyFont="1" applyFill="1" applyBorder="1" applyAlignment="1">
      <alignment horizontal="center" vertical="center"/>
    </xf>
    <xf numFmtId="44" fontId="4" fillId="0" borderId="20" xfId="12" applyFont="1" applyFill="1" applyBorder="1" applyAlignment="1">
      <alignment horizontal="center" vertical="center"/>
    </xf>
    <xf numFmtId="44" fontId="4" fillId="0" borderId="18" xfId="12" applyFont="1" applyBorder="1" applyAlignment="1">
      <alignment horizontal="center" vertical="center"/>
    </xf>
    <xf numFmtId="44" fontId="4" fillId="0" borderId="23" xfId="12" applyFont="1" applyBorder="1" applyAlignment="1">
      <alignment horizontal="center" vertical="center"/>
    </xf>
    <xf numFmtId="44" fontId="7" fillId="0" borderId="19" xfId="12" applyFont="1" applyBorder="1" applyAlignment="1">
      <alignment horizontal="center" vertical="center"/>
    </xf>
    <xf numFmtId="44" fontId="7" fillId="0" borderId="24" xfId="12" applyFont="1" applyBorder="1" applyAlignment="1">
      <alignment horizontal="center" vertical="center"/>
    </xf>
    <xf numFmtId="44" fontId="7" fillId="0" borderId="26" xfId="12" applyFont="1" applyBorder="1" applyAlignment="1">
      <alignment horizontal="center" vertical="center"/>
    </xf>
    <xf numFmtId="44" fontId="7" fillId="0" borderId="10" xfId="12" applyFont="1" applyBorder="1" applyAlignment="1">
      <alignment horizontal="center" vertical="center"/>
    </xf>
    <xf numFmtId="44" fontId="7" fillId="0" borderId="12" xfId="12" applyFont="1" applyBorder="1" applyAlignment="1">
      <alignment horizontal="center" vertical="center"/>
    </xf>
    <xf numFmtId="44" fontId="4" fillId="0" borderId="20" xfId="12" applyFont="1" applyBorder="1" applyAlignment="1">
      <alignment horizontal="center" vertical="center"/>
    </xf>
    <xf numFmtId="44" fontId="4" fillId="0" borderId="19" xfId="12" applyFont="1" applyBorder="1" applyAlignment="1">
      <alignment horizontal="center" vertical="center"/>
    </xf>
    <xf numFmtId="44" fontId="4" fillId="0" borderId="12" xfId="12" applyFont="1" applyBorder="1" applyAlignment="1">
      <alignment horizontal="center" vertical="center"/>
    </xf>
    <xf numFmtId="44" fontId="7" fillId="8" borderId="24" xfId="12" applyFont="1" applyFill="1" applyBorder="1" applyAlignment="1">
      <alignment horizontal="center" vertical="center"/>
    </xf>
    <xf numFmtId="44" fontId="4" fillId="0" borderId="25" xfId="12" applyFont="1" applyBorder="1" applyAlignment="1">
      <alignment horizontal="center" vertical="center"/>
    </xf>
    <xf numFmtId="44" fontId="4" fillId="0" borderId="34" xfId="12" applyFont="1" applyBorder="1" applyAlignment="1">
      <alignment horizontal="center" vertical="center"/>
    </xf>
    <xf numFmtId="44" fontId="4" fillId="0" borderId="35" xfId="12" applyFont="1" applyBorder="1" applyAlignment="1">
      <alignment horizontal="center" vertical="center"/>
    </xf>
    <xf numFmtId="44" fontId="4" fillId="0" borderId="36" xfId="12" applyFont="1" applyBorder="1" applyAlignment="1">
      <alignment horizontal="center" vertical="center"/>
    </xf>
    <xf numFmtId="44" fontId="4" fillId="0" borderId="37" xfId="12" applyFont="1" applyBorder="1" applyAlignment="1">
      <alignment horizontal="center" vertical="center"/>
    </xf>
    <xf numFmtId="44" fontId="4" fillId="0" borderId="38" xfId="12" applyFont="1" applyBorder="1" applyAlignment="1">
      <alignment horizontal="center" vertical="center"/>
    </xf>
    <xf numFmtId="44" fontId="21" fillId="0" borderId="23" xfId="12" applyFont="1" applyBorder="1" applyAlignment="1">
      <alignment horizontal="center" vertical="center"/>
    </xf>
    <xf numFmtId="44" fontId="22" fillId="0" borderId="24" xfId="12" applyFont="1" applyBorder="1" applyAlignment="1">
      <alignment horizontal="center" vertical="center"/>
    </xf>
    <xf numFmtId="44" fontId="21" fillId="0" borderId="23" xfId="12" applyFont="1" applyFill="1" applyBorder="1" applyAlignment="1">
      <alignment horizontal="center" vertical="center"/>
    </xf>
    <xf numFmtId="44" fontId="7" fillId="0" borderId="24" xfId="12" applyFont="1" applyFill="1" applyBorder="1" applyAlignment="1">
      <alignment horizontal="center" vertical="center"/>
    </xf>
    <xf numFmtId="44" fontId="7" fillId="0" borderId="12" xfId="12" applyFont="1" applyFill="1" applyBorder="1" applyAlignment="1">
      <alignment horizontal="center" vertical="center"/>
    </xf>
    <xf numFmtId="0" fontId="23" fillId="0" borderId="0" xfId="0" applyFont="1" applyAlignment="1">
      <alignment horizontal="center" vertical="center"/>
    </xf>
    <xf numFmtId="44" fontId="4" fillId="0" borderId="38" xfId="12" applyFont="1" applyFill="1" applyBorder="1" applyAlignment="1" applyProtection="1">
      <alignment horizontal="center" vertical="center"/>
    </xf>
    <xf numFmtId="44" fontId="10" fillId="0" borderId="46" xfId="12" applyFont="1" applyFill="1" applyBorder="1" applyAlignment="1">
      <alignment horizontal="center" vertical="center"/>
    </xf>
    <xf numFmtId="44" fontId="4" fillId="0" borderId="23" xfId="12" applyFont="1" applyFill="1" applyBorder="1" applyAlignment="1" applyProtection="1">
      <alignment horizontal="center" vertical="center"/>
    </xf>
    <xf numFmtId="44" fontId="4" fillId="0" borderId="25" xfId="12" applyFont="1" applyFill="1" applyBorder="1" applyAlignment="1" applyProtection="1">
      <alignment horizontal="center" vertical="center"/>
    </xf>
    <xf numFmtId="44" fontId="4" fillId="0" borderId="20" xfId="12" applyFont="1" applyFill="1" applyBorder="1" applyAlignment="1" applyProtection="1">
      <alignment horizontal="center" vertical="center"/>
    </xf>
    <xf numFmtId="44" fontId="11" fillId="9" borderId="3" xfId="12" applyFont="1" applyFill="1" applyBorder="1" applyAlignment="1">
      <alignment horizontal="center" vertical="center"/>
    </xf>
    <xf numFmtId="44" fontId="4" fillId="0" borderId="18" xfId="12" applyFont="1" applyFill="1" applyBorder="1" applyAlignment="1" applyProtection="1">
      <alignment horizontal="center" vertical="center"/>
    </xf>
    <xf numFmtId="44" fontId="11" fillId="0" borderId="19" xfId="12" applyFont="1" applyFill="1" applyBorder="1" applyAlignment="1" applyProtection="1">
      <alignment horizontal="center" vertical="center"/>
    </xf>
    <xf numFmtId="44" fontId="15" fillId="10" borderId="38" xfId="12" applyFont="1" applyFill="1" applyBorder="1" applyAlignment="1">
      <alignment horizontal="center" vertical="center"/>
    </xf>
    <xf numFmtId="44" fontId="15" fillId="10" borderId="23" xfId="12" applyFont="1" applyFill="1" applyBorder="1" applyAlignment="1">
      <alignment horizontal="center" vertical="center"/>
    </xf>
    <xf numFmtId="44" fontId="15" fillId="10" borderId="25" xfId="12" applyFont="1" applyFill="1" applyBorder="1" applyAlignment="1">
      <alignment horizontal="center" vertical="center"/>
    </xf>
    <xf numFmtId="44" fontId="4" fillId="0" borderId="51" xfId="12" applyFont="1" applyBorder="1" applyAlignment="1">
      <alignment horizontal="center" vertical="center"/>
    </xf>
    <xf numFmtId="44" fontId="7" fillId="3" borderId="4" xfId="12" applyFont="1" applyFill="1" applyBorder="1" applyAlignment="1">
      <alignment horizontal="center" vertical="center"/>
    </xf>
    <xf numFmtId="44" fontId="11" fillId="0" borderId="24" xfId="12" applyFont="1" applyFill="1" applyBorder="1" applyAlignment="1">
      <alignment horizontal="center" vertical="center"/>
    </xf>
    <xf numFmtId="44" fontId="11" fillId="0" borderId="12" xfId="12" applyFont="1" applyBorder="1" applyAlignment="1">
      <alignment horizontal="center" vertical="center"/>
    </xf>
    <xf numFmtId="44" fontId="10" fillId="0" borderId="24" xfId="12" applyFont="1" applyFill="1" applyBorder="1" applyAlignment="1">
      <alignment horizontal="center" vertical="center"/>
    </xf>
    <xf numFmtId="44" fontId="10" fillId="0" borderId="12" xfId="12" applyFont="1" applyBorder="1" applyAlignment="1">
      <alignment horizontal="center" vertical="center"/>
    </xf>
    <xf numFmtId="44" fontId="16" fillId="0" borderId="20" xfId="12" applyFont="1" applyBorder="1" applyAlignment="1">
      <alignment horizontal="center" vertical="center"/>
    </xf>
    <xf numFmtId="44" fontId="7" fillId="3" borderId="21" xfId="12" applyFont="1" applyFill="1" applyBorder="1" applyAlignment="1">
      <alignment horizontal="center" vertical="center"/>
    </xf>
    <xf numFmtId="44" fontId="7" fillId="3" borderId="50" xfId="12" applyFont="1" applyFill="1" applyBorder="1" applyAlignment="1">
      <alignment horizontal="center" vertical="center"/>
    </xf>
    <xf numFmtId="44" fontId="7" fillId="12" borderId="23" xfId="12" applyFont="1" applyFill="1" applyBorder="1" applyAlignment="1">
      <alignment horizontal="center" vertical="center"/>
    </xf>
    <xf numFmtId="0" fontId="7" fillId="3" borderId="14" xfId="0" applyFont="1" applyFill="1" applyBorder="1" applyAlignment="1">
      <alignment horizontal="center" vertical="center"/>
    </xf>
    <xf numFmtId="0" fontId="7" fillId="3" borderId="15" xfId="0" applyFont="1" applyFill="1" applyBorder="1" applyAlignment="1">
      <alignment horizontal="center" vertical="center"/>
    </xf>
    <xf numFmtId="0" fontId="7" fillId="3" borderId="16" xfId="0" applyFont="1" applyFill="1" applyBorder="1" applyAlignment="1">
      <alignment horizontal="center" vertical="center"/>
    </xf>
    <xf numFmtId="44" fontId="7" fillId="0" borderId="66" xfId="12" applyFont="1" applyBorder="1" applyAlignment="1">
      <alignment horizontal="center" vertical="center"/>
    </xf>
    <xf numFmtId="0" fontId="4" fillId="0" borderId="31" xfId="0" applyFont="1" applyBorder="1" applyAlignment="1">
      <alignment horizontal="center" vertical="center"/>
    </xf>
    <xf numFmtId="44" fontId="4" fillId="0" borderId="67" xfId="12" applyFont="1" applyBorder="1" applyAlignment="1">
      <alignment horizontal="center" vertical="center"/>
    </xf>
    <xf numFmtId="9" fontId="4" fillId="0" borderId="67" xfId="2" applyFont="1" applyBorder="1" applyAlignment="1">
      <alignment horizontal="center" vertical="center"/>
    </xf>
    <xf numFmtId="44" fontId="7" fillId="0" borderId="32" xfId="12" applyFont="1" applyBorder="1" applyAlignment="1">
      <alignment horizontal="center" vertical="center"/>
    </xf>
    <xf numFmtId="44" fontId="7" fillId="0" borderId="23" xfId="12" applyFont="1" applyBorder="1" applyAlignment="1">
      <alignment horizontal="center" vertical="center"/>
    </xf>
    <xf numFmtId="0" fontId="4" fillId="0" borderId="68" xfId="0" applyFont="1" applyBorder="1" applyAlignment="1">
      <alignment horizontal="center" vertical="center"/>
    </xf>
    <xf numFmtId="44" fontId="4" fillId="0" borderId="69" xfId="12" applyFont="1" applyBorder="1" applyAlignment="1">
      <alignment horizontal="center" vertical="center"/>
    </xf>
    <xf numFmtId="9" fontId="4" fillId="0" borderId="69" xfId="2" applyNumberFormat="1" applyFont="1" applyBorder="1" applyAlignment="1">
      <alignment horizontal="center" vertical="center"/>
    </xf>
    <xf numFmtId="44" fontId="7" fillId="0" borderId="70" xfId="12" applyFont="1" applyBorder="1" applyAlignment="1">
      <alignment horizontal="center" vertical="center"/>
    </xf>
    <xf numFmtId="0" fontId="8" fillId="0" borderId="22" xfId="0" applyFont="1" applyBorder="1" applyAlignment="1">
      <alignment horizontal="left" vertical="top" wrapText="1"/>
    </xf>
    <xf numFmtId="44" fontId="4" fillId="0" borderId="69" xfId="12" applyFont="1" applyFill="1" applyBorder="1" applyAlignment="1">
      <alignment horizontal="center" vertical="center"/>
    </xf>
    <xf numFmtId="10" fontId="4" fillId="0" borderId="69" xfId="0" applyNumberFormat="1" applyFont="1" applyBorder="1" applyAlignment="1">
      <alignment horizontal="center" vertical="center"/>
    </xf>
    <xf numFmtId="1" fontId="4" fillId="0" borderId="69" xfId="0" applyNumberFormat="1" applyFont="1" applyBorder="1" applyAlignment="1">
      <alignment horizontal="center" vertical="center"/>
    </xf>
    <xf numFmtId="9" fontId="4" fillId="0" borderId="69" xfId="2" applyFont="1" applyBorder="1" applyAlignment="1">
      <alignment horizontal="center" vertical="center"/>
    </xf>
    <xf numFmtId="9" fontId="4" fillId="0" borderId="38" xfId="2" applyFont="1" applyBorder="1" applyAlignment="1">
      <alignment horizontal="center" vertical="center"/>
    </xf>
    <xf numFmtId="166" fontId="4" fillId="0" borderId="69" xfId="0" applyNumberFormat="1" applyFont="1" applyBorder="1" applyAlignment="1">
      <alignment horizontal="center" vertical="center"/>
    </xf>
    <xf numFmtId="166" fontId="4" fillId="0" borderId="65" xfId="0" applyNumberFormat="1" applyFont="1" applyBorder="1" applyAlignment="1">
      <alignment horizontal="center" vertical="center"/>
    </xf>
    <xf numFmtId="44" fontId="4" fillId="0" borderId="71" xfId="12" applyFont="1" applyBorder="1" applyAlignment="1">
      <alignment horizontal="center" vertical="center"/>
    </xf>
    <xf numFmtId="44" fontId="7" fillId="8" borderId="12" xfId="12" applyFont="1" applyFill="1" applyBorder="1" applyAlignment="1">
      <alignment horizontal="center" vertical="center"/>
    </xf>
    <xf numFmtId="0" fontId="4" fillId="0" borderId="69" xfId="0" applyFont="1" applyBorder="1" applyAlignment="1">
      <alignment horizontal="center" vertical="center"/>
    </xf>
    <xf numFmtId="44" fontId="21" fillId="0" borderId="69" xfId="12" applyFont="1" applyBorder="1" applyAlignment="1">
      <alignment horizontal="center" vertical="center"/>
    </xf>
    <xf numFmtId="44" fontId="22" fillId="0" borderId="70" xfId="12" applyFont="1" applyBorder="1" applyAlignment="1">
      <alignment horizontal="center" vertical="center"/>
    </xf>
    <xf numFmtId="44" fontId="21" fillId="0" borderId="20" xfId="12" applyFont="1" applyBorder="1" applyAlignment="1">
      <alignment horizontal="center" vertical="center"/>
    </xf>
    <xf numFmtId="44" fontId="22" fillId="0" borderId="12" xfId="12" applyFont="1" applyBorder="1" applyAlignment="1">
      <alignment horizontal="center" vertical="center"/>
    </xf>
    <xf numFmtId="44" fontId="21" fillId="0" borderId="69" xfId="12" applyFont="1" applyFill="1" applyBorder="1" applyAlignment="1">
      <alignment horizontal="center" vertical="center"/>
    </xf>
    <xf numFmtId="44" fontId="7" fillId="0" borderId="70" xfId="12" applyFont="1" applyFill="1" applyBorder="1" applyAlignment="1">
      <alignment horizontal="center" vertical="center"/>
    </xf>
    <xf numFmtId="44" fontId="21" fillId="0" borderId="20" xfId="12" applyFont="1" applyFill="1" applyBorder="1" applyAlignment="1">
      <alignment horizontal="center" vertical="center"/>
    </xf>
    <xf numFmtId="44" fontId="4" fillId="0" borderId="29" xfId="12" applyFont="1" applyBorder="1" applyAlignment="1">
      <alignment horizontal="center" vertical="center"/>
    </xf>
    <xf numFmtId="0" fontId="4" fillId="0" borderId="29" xfId="0" applyFont="1" applyBorder="1" applyAlignment="1">
      <alignment horizontal="center" vertical="center"/>
    </xf>
    <xf numFmtId="44" fontId="7" fillId="0" borderId="30" xfId="12" applyFont="1" applyBorder="1" applyAlignment="1">
      <alignment horizontal="center" vertical="center"/>
    </xf>
    <xf numFmtId="0" fontId="4" fillId="0" borderId="6" xfId="0" applyFont="1" applyBorder="1" applyAlignment="1">
      <alignment horizontal="center" vertical="center"/>
    </xf>
    <xf numFmtId="0" fontId="23" fillId="0" borderId="47" xfId="0" applyFont="1" applyBorder="1" applyAlignment="1">
      <alignment horizontal="center" vertical="center"/>
    </xf>
    <xf numFmtId="44" fontId="4" fillId="0" borderId="0" xfId="12" applyFont="1" applyBorder="1" applyAlignment="1">
      <alignment horizontal="center" vertical="center"/>
    </xf>
    <xf numFmtId="44" fontId="7" fillId="0" borderId="0" xfId="12" applyFont="1" applyBorder="1" applyAlignment="1">
      <alignment horizontal="center" vertical="center"/>
    </xf>
    <xf numFmtId="44" fontId="4" fillId="0" borderId="69" xfId="12" applyFont="1" applyFill="1" applyBorder="1" applyAlignment="1" applyProtection="1">
      <alignment horizontal="center" vertical="center"/>
    </xf>
    <xf numFmtId="44" fontId="11" fillId="0" borderId="70" xfId="12" applyFont="1" applyFill="1" applyBorder="1" applyAlignment="1">
      <alignment horizontal="center" vertical="center"/>
    </xf>
    <xf numFmtId="44" fontId="11" fillId="0" borderId="70" xfId="12" applyFont="1" applyBorder="1" applyAlignment="1">
      <alignment horizontal="center" vertical="center"/>
    </xf>
    <xf numFmtId="44" fontId="4" fillId="0" borderId="65" xfId="12" applyFont="1" applyFill="1" applyBorder="1" applyAlignment="1" applyProtection="1">
      <alignment horizontal="center" vertical="center"/>
    </xf>
    <xf numFmtId="44" fontId="10" fillId="0" borderId="70" xfId="12" applyFont="1" applyFill="1" applyBorder="1" applyAlignment="1">
      <alignment horizontal="center" vertical="center"/>
    </xf>
    <xf numFmtId="44" fontId="10" fillId="0" borderId="70" xfId="12" applyFont="1" applyBorder="1" applyAlignment="1">
      <alignment horizontal="center" vertical="center"/>
    </xf>
    <xf numFmtId="166" fontId="4" fillId="0" borderId="0" xfId="0" applyNumberFormat="1" applyFont="1" applyBorder="1" applyAlignment="1">
      <alignment horizontal="center" vertical="center"/>
    </xf>
    <xf numFmtId="166" fontId="7" fillId="0" borderId="0" xfId="0" applyNumberFormat="1" applyFont="1" applyBorder="1" applyAlignment="1">
      <alignment horizontal="center" vertical="center"/>
    </xf>
    <xf numFmtId="0" fontId="7" fillId="0" borderId="0" xfId="0" applyFont="1" applyAlignment="1">
      <alignment horizontal="center" vertical="center"/>
    </xf>
    <xf numFmtId="0" fontId="7" fillId="0" borderId="21" xfId="0" applyFont="1" applyFill="1" applyBorder="1" applyAlignment="1">
      <alignment horizontal="center" vertical="center" wrapText="1"/>
    </xf>
    <xf numFmtId="10" fontId="4" fillId="8" borderId="69" xfId="2" applyNumberFormat="1" applyFont="1" applyFill="1" applyBorder="1" applyAlignment="1">
      <alignment horizontal="center" vertical="center"/>
    </xf>
    <xf numFmtId="0" fontId="4" fillId="8" borderId="9" xfId="14" applyFont="1" applyFill="1" applyBorder="1" applyAlignment="1">
      <alignment horizontal="center" vertical="center"/>
    </xf>
    <xf numFmtId="44" fontId="4" fillId="8" borderId="38" xfId="23" applyFont="1" applyFill="1" applyBorder="1" applyAlignment="1">
      <alignment horizontal="center" vertical="center"/>
    </xf>
    <xf numFmtId="10" fontId="4" fillId="8" borderId="38" xfId="14" applyNumberFormat="1" applyFont="1" applyFill="1" applyBorder="1" applyAlignment="1">
      <alignment horizontal="center" vertical="center"/>
    </xf>
    <xf numFmtId="44" fontId="4" fillId="8" borderId="10" xfId="14" applyNumberFormat="1" applyFont="1" applyFill="1" applyBorder="1" applyAlignment="1">
      <alignment horizontal="center" vertical="center"/>
    </xf>
    <xf numFmtId="0" fontId="4" fillId="8" borderId="22" xfId="14" applyFont="1" applyFill="1" applyBorder="1" applyAlignment="1">
      <alignment horizontal="center" vertical="center"/>
    </xf>
    <xf numFmtId="44" fontId="4" fillId="8" borderId="73" xfId="23" applyFont="1" applyFill="1" applyBorder="1" applyAlignment="1">
      <alignment horizontal="center" vertical="center"/>
    </xf>
    <xf numFmtId="10" fontId="4" fillId="8" borderId="73" xfId="14" applyNumberFormat="1" applyFont="1" applyFill="1" applyBorder="1" applyAlignment="1">
      <alignment horizontal="center" vertical="center"/>
    </xf>
    <xf numFmtId="44" fontId="4" fillId="8" borderId="74" xfId="14" applyNumberFormat="1" applyFont="1" applyFill="1" applyBorder="1" applyAlignment="1">
      <alignment horizontal="center" vertical="center"/>
    </xf>
    <xf numFmtId="0" fontId="4" fillId="8" borderId="72" xfId="14" applyFont="1" applyFill="1" applyBorder="1" applyAlignment="1">
      <alignment horizontal="center" vertical="center"/>
    </xf>
    <xf numFmtId="0" fontId="4" fillId="8" borderId="11" xfId="14" applyFont="1" applyFill="1" applyBorder="1" applyAlignment="1">
      <alignment horizontal="center" vertical="center"/>
    </xf>
    <xf numFmtId="44" fontId="4" fillId="8" borderId="80" xfId="23" applyFont="1" applyFill="1" applyBorder="1" applyAlignment="1">
      <alignment horizontal="center" vertical="center"/>
    </xf>
    <xf numFmtId="10" fontId="4" fillId="8" borderId="75" xfId="14" applyNumberFormat="1" applyFont="1" applyFill="1" applyBorder="1" applyAlignment="1">
      <alignment horizontal="center" vertical="center"/>
    </xf>
    <xf numFmtId="44" fontId="4" fillId="8" borderId="79" xfId="14" applyNumberFormat="1" applyFont="1" applyFill="1" applyBorder="1" applyAlignment="1">
      <alignment horizontal="center" vertical="center"/>
    </xf>
    <xf numFmtId="0" fontId="4" fillId="8" borderId="22" xfId="0" applyFont="1" applyFill="1" applyBorder="1" applyAlignment="1">
      <alignment horizontal="center" vertical="center"/>
    </xf>
    <xf numFmtId="0" fontId="7" fillId="0" borderId="0" xfId="0" applyFont="1" applyAlignment="1">
      <alignment horizontal="center" vertical="center"/>
    </xf>
    <xf numFmtId="0" fontId="7" fillId="3" borderId="77" xfId="0" applyFont="1" applyFill="1" applyBorder="1" applyAlignment="1">
      <alignment horizontal="center" vertical="center" wrapText="1"/>
    </xf>
    <xf numFmtId="0" fontId="6" fillId="0" borderId="0" xfId="0" applyFont="1" applyAlignment="1">
      <alignment horizontal="center" vertical="center"/>
    </xf>
    <xf numFmtId="0" fontId="7" fillId="3" borderId="65" xfId="0" applyFont="1" applyFill="1" applyBorder="1" applyAlignment="1">
      <alignment horizontal="center" vertical="center"/>
    </xf>
    <xf numFmtId="44" fontId="4" fillId="0" borderId="73" xfId="12" applyFont="1" applyBorder="1" applyAlignment="1">
      <alignment horizontal="center" vertical="center"/>
    </xf>
    <xf numFmtId="0" fontId="7" fillId="3" borderId="75" xfId="0" applyFont="1" applyFill="1" applyBorder="1" applyAlignment="1">
      <alignment horizontal="center" vertical="center" wrapText="1"/>
    </xf>
    <xf numFmtId="0" fontId="14" fillId="3" borderId="80" xfId="0" applyFont="1" applyFill="1" applyBorder="1" applyAlignment="1">
      <alignment horizontal="center" vertical="center"/>
    </xf>
    <xf numFmtId="4" fontId="4" fillId="0" borderId="35" xfId="0" applyNumberFormat="1" applyFont="1" applyBorder="1" applyAlignment="1">
      <alignment horizontal="center" vertical="center"/>
    </xf>
    <xf numFmtId="0" fontId="7" fillId="3" borderId="23" xfId="0" applyFont="1" applyFill="1" applyBorder="1" applyAlignment="1">
      <alignment horizontal="center" vertical="center"/>
    </xf>
    <xf numFmtId="0" fontId="7" fillId="3" borderId="22" xfId="0" applyFont="1" applyFill="1" applyBorder="1" applyAlignment="1">
      <alignment horizontal="center" vertical="center"/>
    </xf>
    <xf numFmtId="0" fontId="7" fillId="3" borderId="24" xfId="0" applyFont="1" applyFill="1" applyBorder="1" applyAlignment="1">
      <alignment horizontal="center" vertical="center"/>
    </xf>
    <xf numFmtId="0" fontId="4" fillId="8" borderId="0" xfId="0" applyFont="1" applyFill="1" applyBorder="1" applyAlignment="1">
      <alignment horizontal="center" vertical="center"/>
    </xf>
    <xf numFmtId="0" fontId="4" fillId="8" borderId="33" xfId="0" applyFont="1" applyFill="1" applyBorder="1" applyAlignment="1">
      <alignment horizontal="center" vertical="center"/>
    </xf>
    <xf numFmtId="44" fontId="4" fillId="8" borderId="24" xfId="12" applyFont="1" applyFill="1" applyBorder="1" applyAlignment="1">
      <alignment horizontal="center" vertical="center"/>
    </xf>
    <xf numFmtId="0" fontId="4" fillId="8" borderId="11" xfId="0" applyFont="1" applyFill="1" applyBorder="1" applyAlignment="1">
      <alignment horizontal="center" vertical="center"/>
    </xf>
    <xf numFmtId="44" fontId="4" fillId="8" borderId="12" xfId="12" applyFont="1" applyFill="1" applyBorder="1" applyAlignment="1">
      <alignment horizontal="center" vertical="center"/>
    </xf>
    <xf numFmtId="0" fontId="26" fillId="0" borderId="0" xfId="0" applyFont="1"/>
    <xf numFmtId="0" fontId="27" fillId="0" borderId="0" xfId="0" applyFont="1"/>
    <xf numFmtId="0" fontId="27" fillId="0" borderId="0" xfId="0" applyFont="1" applyAlignment="1">
      <alignment horizontal="left"/>
    </xf>
    <xf numFmtId="0" fontId="0" fillId="0" borderId="0" xfId="0" applyAlignment="1">
      <alignment horizontal="right"/>
    </xf>
    <xf numFmtId="0" fontId="28" fillId="0" borderId="35" xfId="0" applyFont="1" applyBorder="1"/>
    <xf numFmtId="0" fontId="0" fillId="0" borderId="41" xfId="0" applyBorder="1" applyAlignment="1">
      <alignment horizontal="right"/>
    </xf>
    <xf numFmtId="0" fontId="0" fillId="0" borderId="41" xfId="0" applyBorder="1"/>
    <xf numFmtId="0" fontId="0" fillId="0" borderId="43" xfId="0" applyBorder="1"/>
    <xf numFmtId="0" fontId="0" fillId="0" borderId="35" xfId="0" applyBorder="1"/>
    <xf numFmtId="0" fontId="28" fillId="0" borderId="35" xfId="0" applyFont="1" applyBorder="1" applyAlignment="1">
      <alignment horizontal="left"/>
    </xf>
    <xf numFmtId="0" fontId="0" fillId="0" borderId="81" xfId="0" applyBorder="1"/>
    <xf numFmtId="0" fontId="28" fillId="0" borderId="41" xfId="0" applyFont="1" applyBorder="1" applyAlignment="1">
      <alignment horizontal="left"/>
    </xf>
    <xf numFmtId="0" fontId="28" fillId="0" borderId="82" xfId="0" applyFont="1" applyBorder="1"/>
    <xf numFmtId="0" fontId="30" fillId="0" borderId="23" xfId="0" applyFont="1" applyBorder="1"/>
    <xf numFmtId="0" fontId="28" fillId="0" borderId="23" xfId="0" applyFont="1" applyBorder="1"/>
    <xf numFmtId="0" fontId="28" fillId="0" borderId="0" xfId="0" applyFont="1"/>
    <xf numFmtId="0" fontId="0" fillId="0" borderId="0" xfId="0" applyAlignment="1">
      <alignment horizontal="left"/>
    </xf>
    <xf numFmtId="0" fontId="31" fillId="0" borderId="0" xfId="0" applyFont="1" applyAlignment="1">
      <alignment horizontal="right"/>
    </xf>
    <xf numFmtId="43" fontId="0" fillId="0" borderId="0" xfId="0" applyNumberFormat="1" applyAlignment="1">
      <alignment horizontal="center"/>
    </xf>
    <xf numFmtId="0" fontId="0" fillId="0" borderId="0" xfId="0" applyAlignment="1">
      <alignment horizontal="center"/>
    </xf>
    <xf numFmtId="8" fontId="0" fillId="0" borderId="0" xfId="0" applyNumberFormat="1" applyAlignment="1">
      <alignment horizontal="right"/>
    </xf>
    <xf numFmtId="0" fontId="19" fillId="0" borderId="0" xfId="0" applyFont="1" applyAlignment="1">
      <alignment horizontal="right"/>
    </xf>
    <xf numFmtId="43" fontId="0" fillId="0" borderId="0" xfId="0" applyNumberFormat="1" applyAlignment="1">
      <alignment horizontal="right"/>
    </xf>
    <xf numFmtId="44" fontId="32" fillId="0" borderId="0" xfId="12" applyFont="1" applyBorder="1" applyAlignment="1">
      <alignment horizontal="right"/>
    </xf>
    <xf numFmtId="0" fontId="28" fillId="0" borderId="0" xfId="0" applyFont="1" applyAlignment="1">
      <alignment horizontal="left"/>
    </xf>
    <xf numFmtId="3" fontId="19" fillId="0" borderId="0" xfId="0" applyNumberFormat="1" applyFont="1" applyAlignment="1">
      <alignment horizontal="right"/>
    </xf>
    <xf numFmtId="0" fontId="33" fillId="0" borderId="0" xfId="0" applyFont="1"/>
    <xf numFmtId="3" fontId="0" fillId="0" borderId="0" xfId="0" applyNumberFormat="1" applyAlignment="1">
      <alignment horizontal="right"/>
    </xf>
    <xf numFmtId="43" fontId="0" fillId="0" borderId="0" xfId="1" applyFont="1" applyBorder="1" applyAlignment="1">
      <alignment horizontal="right"/>
    </xf>
    <xf numFmtId="0" fontId="2" fillId="0" borderId="0" xfId="0" applyFont="1" applyAlignment="1">
      <alignment horizontal="right"/>
    </xf>
    <xf numFmtId="8" fontId="32" fillId="0" borderId="0" xfId="12" applyNumberFormat="1" applyFont="1" applyBorder="1" applyAlignment="1">
      <alignment horizontal="right"/>
    </xf>
    <xf numFmtId="0" fontId="2" fillId="0" borderId="41" xfId="0" applyFont="1" applyBorder="1" applyAlignment="1">
      <alignment horizontal="left"/>
    </xf>
    <xf numFmtId="0" fontId="2" fillId="0" borderId="0" xfId="0" applyFont="1"/>
    <xf numFmtId="44" fontId="0" fillId="0" borderId="0" xfId="12" applyFont="1"/>
    <xf numFmtId="44" fontId="4" fillId="0" borderId="0" xfId="12" applyFont="1" applyFill="1" applyBorder="1" applyAlignment="1" applyProtection="1">
      <alignment horizontal="center" vertical="center"/>
    </xf>
    <xf numFmtId="44" fontId="11" fillId="0" borderId="0" xfId="12" applyFont="1" applyBorder="1" applyAlignment="1">
      <alignment horizontal="center" vertical="center"/>
    </xf>
    <xf numFmtId="0" fontId="7" fillId="3" borderId="77" xfId="0" applyFont="1" applyFill="1" applyBorder="1" applyAlignment="1">
      <alignment horizontal="center" vertical="center" wrapText="1"/>
    </xf>
    <xf numFmtId="0" fontId="6" fillId="0" borderId="0" xfId="0" applyFont="1" applyAlignment="1">
      <alignment horizontal="left" vertical="center" wrapText="1"/>
    </xf>
    <xf numFmtId="0" fontId="7" fillId="0" borderId="0" xfId="0" applyFont="1" applyAlignment="1">
      <alignment horizontal="center" vertical="center"/>
    </xf>
    <xf numFmtId="0" fontId="6" fillId="0" borderId="0" xfId="0" applyFont="1" applyAlignment="1">
      <alignment horizontal="center" vertical="center"/>
    </xf>
    <xf numFmtId="0" fontId="7" fillId="3" borderId="0" xfId="0" applyFont="1" applyFill="1" applyBorder="1" applyAlignment="1">
      <alignment horizontal="center" vertical="center"/>
    </xf>
    <xf numFmtId="44" fontId="4" fillId="0" borderId="0" xfId="0" applyNumberFormat="1" applyFont="1" applyAlignment="1">
      <alignment horizontal="center" vertical="center"/>
    </xf>
    <xf numFmtId="0" fontId="7" fillId="0" borderId="80" xfId="0" applyFont="1" applyFill="1" applyBorder="1" applyAlignment="1">
      <alignment horizontal="center" vertical="center" wrapText="1"/>
    </xf>
    <xf numFmtId="44" fontId="4" fillId="0" borderId="71" xfId="12" applyFont="1" applyFill="1" applyBorder="1" applyAlignment="1">
      <alignment horizontal="center" vertical="center"/>
    </xf>
    <xf numFmtId="44" fontId="4" fillId="0" borderId="35" xfId="12" applyFont="1" applyFill="1" applyBorder="1" applyAlignment="1">
      <alignment horizontal="center" vertical="center"/>
    </xf>
    <xf numFmtId="44" fontId="4" fillId="0" borderId="37" xfId="12" applyFont="1" applyFill="1" applyBorder="1" applyAlignment="1">
      <alignment horizontal="center" vertical="center"/>
    </xf>
    <xf numFmtId="9" fontId="4" fillId="0" borderId="36" xfId="0" applyNumberFormat="1" applyFont="1" applyBorder="1" applyAlignment="1">
      <alignment horizontal="center" vertical="center"/>
    </xf>
    <xf numFmtId="0" fontId="13" fillId="9" borderId="0" xfId="0" applyFont="1" applyFill="1" applyBorder="1" applyAlignment="1">
      <alignment horizontal="center" vertical="center"/>
    </xf>
    <xf numFmtId="4" fontId="4" fillId="0" borderId="0" xfId="0" applyNumberFormat="1" applyFont="1" applyBorder="1" applyAlignment="1">
      <alignment horizontal="center" vertical="center"/>
    </xf>
    <xf numFmtId="4" fontId="7" fillId="0" borderId="0" xfId="0" applyNumberFormat="1" applyFont="1" applyBorder="1" applyAlignment="1">
      <alignment horizontal="center" vertical="center"/>
    </xf>
    <xf numFmtId="4" fontId="7" fillId="3" borderId="0" xfId="0" applyNumberFormat="1" applyFont="1" applyFill="1" applyBorder="1" applyAlignment="1">
      <alignment horizontal="center" vertical="center"/>
    </xf>
    <xf numFmtId="1" fontId="4" fillId="0" borderId="0" xfId="0" applyNumberFormat="1" applyFont="1" applyBorder="1" applyAlignment="1">
      <alignment horizontal="center" vertical="center"/>
    </xf>
    <xf numFmtId="0" fontId="7" fillId="2" borderId="0" xfId="0" applyFont="1" applyFill="1" applyAlignment="1">
      <alignment horizontal="center" vertical="center"/>
    </xf>
    <xf numFmtId="44" fontId="0" fillId="0" borderId="0" xfId="0" applyNumberFormat="1" applyBorder="1" applyAlignment="1">
      <alignment vertical="center"/>
    </xf>
    <xf numFmtId="44" fontId="0" fillId="0" borderId="0" xfId="0" applyNumberFormat="1" applyFill="1" applyBorder="1" applyAlignment="1">
      <alignment vertical="center"/>
    </xf>
    <xf numFmtId="1" fontId="4" fillId="0" borderId="0" xfId="0" applyNumberFormat="1" applyFont="1" applyAlignment="1">
      <alignment horizontal="center" vertical="center"/>
    </xf>
    <xf numFmtId="0" fontId="7" fillId="3" borderId="15" xfId="0" applyFont="1" applyFill="1" applyBorder="1" applyAlignment="1">
      <alignment horizontal="center" vertical="center"/>
    </xf>
    <xf numFmtId="44" fontId="4" fillId="14" borderId="69" xfId="12" applyFont="1" applyFill="1" applyBorder="1" applyAlignment="1">
      <alignment horizontal="center" vertical="center"/>
    </xf>
    <xf numFmtId="10" fontId="4" fillId="14" borderId="69" xfId="2" applyNumberFormat="1" applyFont="1" applyFill="1" applyBorder="1" applyAlignment="1">
      <alignment horizontal="center" vertical="center"/>
    </xf>
    <xf numFmtId="0" fontId="1" fillId="0" borderId="0" xfId="63" applyFill="1" applyBorder="1" applyAlignment="1">
      <alignment horizontal="center"/>
    </xf>
    <xf numFmtId="44" fontId="52" fillId="0" borderId="0" xfId="63" applyNumberFormat="1" applyFont="1" applyFill="1" applyBorder="1"/>
    <xf numFmtId="44" fontId="1" fillId="0" borderId="0" xfId="63" applyNumberFormat="1" applyFill="1" applyBorder="1"/>
    <xf numFmtId="0" fontId="53" fillId="0" borderId="0" xfId="63" applyFont="1" applyFill="1" applyBorder="1" applyAlignment="1">
      <alignment horizontal="center" vertical="center" wrapText="1"/>
    </xf>
    <xf numFmtId="0" fontId="50" fillId="0" borderId="23" xfId="63" applyFont="1" applyBorder="1" applyAlignment="1">
      <alignment horizontal="center"/>
    </xf>
    <xf numFmtId="0" fontId="50" fillId="0" borderId="23" xfId="63" applyFont="1" applyBorder="1"/>
    <xf numFmtId="4" fontId="50" fillId="0" borderId="23" xfId="63" applyNumberFormat="1" applyFont="1" applyBorder="1" applyAlignment="1">
      <alignment horizontal="center"/>
    </xf>
    <xf numFmtId="44" fontId="50" fillId="0" borderId="23" xfId="74" applyFont="1" applyBorder="1" applyAlignment="1">
      <alignment horizontal="center"/>
    </xf>
    <xf numFmtId="0" fontId="54" fillId="0" borderId="60" xfId="63" applyFont="1" applyBorder="1" applyAlignment="1">
      <alignment horizontal="center" vertical="center" wrapText="1"/>
    </xf>
    <xf numFmtId="0" fontId="53" fillId="46" borderId="14" xfId="63" applyFont="1" applyFill="1" applyBorder="1" applyAlignment="1">
      <alignment horizontal="center" vertical="center"/>
    </xf>
    <xf numFmtId="0" fontId="53" fillId="46" borderId="15" xfId="63" applyFont="1" applyFill="1" applyBorder="1" applyAlignment="1">
      <alignment horizontal="center" vertical="center" wrapText="1"/>
    </xf>
    <xf numFmtId="0" fontId="53" fillId="46" borderId="16" xfId="63" applyFont="1" applyFill="1" applyBorder="1" applyAlignment="1">
      <alignment horizontal="center" vertical="center" wrapText="1"/>
    </xf>
    <xf numFmtId="44" fontId="1" fillId="0" borderId="24" xfId="63" applyNumberFormat="1" applyBorder="1"/>
    <xf numFmtId="0" fontId="51" fillId="0" borderId="0" xfId="63" applyFont="1" applyBorder="1"/>
    <xf numFmtId="0" fontId="50" fillId="0" borderId="25" xfId="63" applyFont="1" applyBorder="1" applyAlignment="1">
      <alignment horizontal="center"/>
    </xf>
    <xf numFmtId="4" fontId="50" fillId="0" borderId="25" xfId="63" applyNumberFormat="1" applyFont="1" applyBorder="1" applyAlignment="1">
      <alignment horizontal="center"/>
    </xf>
    <xf numFmtId="44" fontId="50" fillId="0" borderId="25" xfId="74" applyFont="1" applyBorder="1" applyAlignment="1">
      <alignment horizontal="center"/>
    </xf>
    <xf numFmtId="44" fontId="51" fillId="47" borderId="77" xfId="63" applyNumberFormat="1" applyFont="1" applyFill="1" applyBorder="1" applyAlignment="1"/>
    <xf numFmtId="44" fontId="51" fillId="47" borderId="78" xfId="63" applyNumberFormat="1" applyFont="1" applyFill="1" applyBorder="1" applyAlignment="1"/>
    <xf numFmtId="0" fontId="25" fillId="0" borderId="72" xfId="0" applyFont="1" applyBorder="1" applyAlignment="1">
      <alignment horizontal="center" wrapText="1"/>
    </xf>
    <xf numFmtId="0" fontId="25" fillId="0" borderId="73" xfId="0" applyFont="1" applyBorder="1" applyAlignment="1">
      <alignment horizontal="center" wrapText="1"/>
    </xf>
    <xf numFmtId="0" fontId="25" fillId="0" borderId="74" xfId="0" applyFont="1" applyBorder="1" applyAlignment="1">
      <alignment horizontal="center" wrapText="1"/>
    </xf>
    <xf numFmtId="0" fontId="0" fillId="0" borderId="23" xfId="0" applyBorder="1" applyAlignment="1">
      <alignment horizontal="center"/>
    </xf>
    <xf numFmtId="43" fontId="0" fillId="0" borderId="23" xfId="1" applyFont="1" applyBorder="1"/>
    <xf numFmtId="43" fontId="0" fillId="0" borderId="24" xfId="1" applyFont="1" applyBorder="1"/>
    <xf numFmtId="43" fontId="25" fillId="0" borderId="23" xfId="1" applyFont="1" applyBorder="1"/>
    <xf numFmtId="43" fontId="25" fillId="0" borderId="24" xfId="1" applyFont="1" applyBorder="1"/>
    <xf numFmtId="0" fontId="18" fillId="0" borderId="23" xfId="0" applyFont="1" applyBorder="1" applyAlignment="1">
      <alignment horizontal="center"/>
    </xf>
    <xf numFmtId="0" fontId="18" fillId="0" borderId="23" xfId="0" applyFont="1" applyBorder="1"/>
    <xf numFmtId="43" fontId="18" fillId="0" borderId="23" xfId="1" applyFont="1" applyBorder="1"/>
    <xf numFmtId="43" fontId="18" fillId="0" borderId="24" xfId="1" applyFont="1" applyBorder="1"/>
    <xf numFmtId="43" fontId="55" fillId="0" borderId="23" xfId="1" applyFont="1" applyBorder="1"/>
    <xf numFmtId="43" fontId="55" fillId="0" borderId="24" xfId="1" applyFont="1" applyBorder="1"/>
    <xf numFmtId="43" fontId="25" fillId="0" borderId="67" xfId="0" applyNumberFormat="1" applyFont="1" applyBorder="1"/>
    <xf numFmtId="43" fontId="25" fillId="0" borderId="32" xfId="0" applyNumberFormat="1" applyFont="1" applyBorder="1"/>
    <xf numFmtId="0" fontId="32" fillId="49" borderId="72" xfId="0" applyFont="1" applyFill="1" applyBorder="1" applyAlignment="1">
      <alignment vertical="center"/>
    </xf>
    <xf numFmtId="0" fontId="0" fillId="49" borderId="73" xfId="0" applyFill="1" applyBorder="1" applyAlignment="1">
      <alignment vertical="center"/>
    </xf>
    <xf numFmtId="0" fontId="0" fillId="49" borderId="74" xfId="0" applyFill="1" applyBorder="1" applyAlignment="1">
      <alignment vertical="center"/>
    </xf>
    <xf numFmtId="0" fontId="0" fillId="0" borderId="22" xfId="0" applyBorder="1" applyAlignment="1">
      <alignment vertical="center"/>
    </xf>
    <xf numFmtId="44" fontId="0" fillId="0" borderId="24" xfId="12" applyFont="1" applyBorder="1" applyAlignment="1">
      <alignment vertical="center"/>
    </xf>
    <xf numFmtId="0" fontId="56" fillId="0" borderId="22" xfId="0" applyFont="1" applyBorder="1" applyAlignment="1">
      <alignment horizontal="justify" vertical="center"/>
    </xf>
    <xf numFmtId="0" fontId="0" fillId="0" borderId="11" xfId="0" applyBorder="1" applyAlignment="1">
      <alignment vertical="center"/>
    </xf>
    <xf numFmtId="44" fontId="0" fillId="0" borderId="20" xfId="12" applyFont="1" applyBorder="1" applyAlignment="1">
      <alignment vertical="center"/>
    </xf>
    <xf numFmtId="44" fontId="0" fillId="0" borderId="12" xfId="12" applyFont="1" applyBorder="1" applyAlignment="1">
      <alignment vertical="center"/>
    </xf>
    <xf numFmtId="0" fontId="56" fillId="0" borderId="0" xfId="0" applyFont="1" applyAlignment="1">
      <alignment horizontal="justify" vertical="center"/>
    </xf>
    <xf numFmtId="0" fontId="0" fillId="0" borderId="0" xfId="0" applyAlignment="1">
      <alignment vertical="center"/>
    </xf>
    <xf numFmtId="0" fontId="0" fillId="0" borderId="22" xfId="0" applyFill="1" applyBorder="1" applyAlignment="1">
      <alignment vertical="center"/>
    </xf>
    <xf numFmtId="169" fontId="0" fillId="0" borderId="23" xfId="12" applyNumberFormat="1" applyFont="1" applyBorder="1" applyAlignment="1">
      <alignment vertical="center"/>
    </xf>
    <xf numFmtId="169" fontId="0" fillId="0" borderId="24" xfId="12" applyNumberFormat="1" applyFont="1" applyBorder="1" applyAlignment="1">
      <alignment vertical="center"/>
    </xf>
    <xf numFmtId="0" fontId="56" fillId="0" borderId="22" xfId="0" applyFont="1" applyBorder="1" applyAlignment="1">
      <alignment horizontal="left" vertical="top" wrapText="1"/>
    </xf>
    <xf numFmtId="0" fontId="0" fillId="0" borderId="24" xfId="0" applyBorder="1" applyAlignment="1">
      <alignment vertical="center"/>
    </xf>
    <xf numFmtId="169" fontId="0" fillId="0" borderId="24" xfId="0" applyNumberFormat="1" applyBorder="1" applyAlignment="1">
      <alignment vertical="center"/>
    </xf>
    <xf numFmtId="0" fontId="57" fillId="0" borderId="22" xfId="0" applyFont="1" applyBorder="1" applyAlignment="1">
      <alignment horizontal="left" vertical="top" wrapText="1"/>
    </xf>
    <xf numFmtId="0" fontId="56" fillId="0" borderId="11" xfId="0" applyFont="1" applyBorder="1" applyAlignment="1">
      <alignment horizontal="left" vertical="top" wrapText="1"/>
    </xf>
    <xf numFmtId="0" fontId="5" fillId="2" borderId="0" xfId="0" applyFont="1" applyFill="1" applyAlignment="1">
      <alignment horizontal="center"/>
    </xf>
    <xf numFmtId="0" fontId="6" fillId="0" borderId="0" xfId="0" applyFont="1" applyAlignment="1">
      <alignment horizontal="left" vertical="center" wrapText="1"/>
    </xf>
    <xf numFmtId="0" fontId="7" fillId="2" borderId="0" xfId="0" applyFont="1" applyFill="1" applyAlignment="1">
      <alignment horizontal="center" vertical="center"/>
    </xf>
    <xf numFmtId="0" fontId="7" fillId="3" borderId="6"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7" xfId="0" applyFont="1" applyFill="1" applyBorder="1" applyAlignment="1">
      <alignment horizontal="center" vertical="center"/>
    </xf>
    <xf numFmtId="0" fontId="7" fillId="3" borderId="8"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13"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21" xfId="0" applyFont="1" applyFill="1" applyBorder="1" applyAlignment="1">
      <alignment horizontal="center" vertical="center"/>
    </xf>
    <xf numFmtId="0" fontId="9" fillId="0" borderId="0" xfId="0" applyFont="1" applyAlignment="1">
      <alignment horizontal="center" vertical="center" wrapText="1"/>
    </xf>
    <xf numFmtId="0" fontId="7" fillId="3" borderId="76" xfId="0" applyFont="1" applyFill="1" applyBorder="1" applyAlignment="1">
      <alignment horizontal="center" vertical="center"/>
    </xf>
    <xf numFmtId="0" fontId="7" fillId="3" borderId="77" xfId="0" applyFont="1" applyFill="1" applyBorder="1" applyAlignment="1">
      <alignment horizontal="center" vertical="center"/>
    </xf>
    <xf numFmtId="0" fontId="7" fillId="3" borderId="78" xfId="0" applyFont="1" applyFill="1" applyBorder="1" applyAlignment="1">
      <alignment horizontal="center" vertical="center"/>
    </xf>
    <xf numFmtId="0" fontId="7" fillId="3" borderId="7" xfId="0" applyFont="1" applyFill="1" applyBorder="1" applyAlignment="1">
      <alignment horizontal="center" vertical="center" wrapText="1"/>
    </xf>
    <xf numFmtId="0" fontId="7" fillId="3" borderId="76" xfId="0" applyFont="1" applyFill="1" applyBorder="1" applyAlignment="1">
      <alignment horizontal="center" vertical="center" wrapText="1"/>
    </xf>
    <xf numFmtId="0" fontId="7" fillId="3" borderId="77" xfId="0" applyFont="1" applyFill="1" applyBorder="1" applyAlignment="1">
      <alignment horizontal="center" vertical="center" wrapText="1"/>
    </xf>
    <xf numFmtId="0" fontId="7" fillId="3" borderId="78" xfId="0" applyFont="1" applyFill="1" applyBorder="1" applyAlignment="1">
      <alignment horizontal="center" vertical="center" wrapText="1"/>
    </xf>
    <xf numFmtId="0" fontId="24"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horizontal="center" vertical="center" wrapText="1"/>
    </xf>
    <xf numFmtId="0" fontId="7" fillId="3" borderId="45" xfId="0" applyFont="1" applyFill="1" applyBorder="1" applyAlignment="1">
      <alignment horizontal="center" vertical="center"/>
    </xf>
    <xf numFmtId="0" fontId="7" fillId="3" borderId="72" xfId="0" applyFont="1" applyFill="1" applyBorder="1" applyAlignment="1">
      <alignment horizontal="center" vertical="center"/>
    </xf>
    <xf numFmtId="0" fontId="7" fillId="3" borderId="73" xfId="0" applyFont="1" applyFill="1" applyBorder="1" applyAlignment="1">
      <alignment horizontal="center" vertical="center"/>
    </xf>
    <xf numFmtId="0" fontId="7" fillId="3" borderId="74" xfId="0" applyFont="1" applyFill="1" applyBorder="1" applyAlignment="1">
      <alignment horizontal="center" vertical="center"/>
    </xf>
    <xf numFmtId="0" fontId="7" fillId="3" borderId="23"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6" fillId="8" borderId="0" xfId="0" applyFont="1" applyFill="1" applyAlignment="1">
      <alignment horizontal="left" vertical="center" wrapText="1"/>
    </xf>
    <xf numFmtId="0" fontId="7" fillId="3" borderId="21"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39"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4" xfId="0" applyFont="1" applyFill="1" applyBorder="1" applyAlignment="1">
      <alignment horizontal="center" vertical="center" wrapText="1"/>
    </xf>
    <xf numFmtId="0" fontId="7" fillId="3" borderId="45" xfId="0" applyFont="1" applyFill="1" applyBorder="1" applyAlignment="1">
      <alignment horizontal="center" vertical="center" wrapText="1"/>
    </xf>
    <xf numFmtId="0" fontId="11" fillId="9" borderId="52" xfId="0" applyFont="1" applyFill="1" applyBorder="1" applyAlignment="1">
      <alignment horizontal="center" vertical="center"/>
    </xf>
    <xf numFmtId="0" fontId="11" fillId="9" borderId="53" xfId="0" applyFont="1" applyFill="1" applyBorder="1" applyAlignment="1">
      <alignment horizontal="center" vertical="center"/>
    </xf>
    <xf numFmtId="0" fontId="11" fillId="9" borderId="54" xfId="0" applyFont="1" applyFill="1" applyBorder="1" applyAlignment="1">
      <alignment horizontal="center" vertical="center"/>
    </xf>
    <xf numFmtId="0" fontId="11" fillId="9" borderId="48" xfId="0" applyFont="1" applyFill="1" applyBorder="1" applyAlignment="1">
      <alignment horizontal="center" vertical="center"/>
    </xf>
    <xf numFmtId="0" fontId="11" fillId="9" borderId="44" xfId="0" applyFont="1" applyFill="1" applyBorder="1" applyAlignment="1">
      <alignment horizontal="center" vertical="center"/>
    </xf>
    <xf numFmtId="0" fontId="11" fillId="9" borderId="49" xfId="0" applyFont="1" applyFill="1" applyBorder="1" applyAlignment="1">
      <alignment horizontal="center" vertical="center"/>
    </xf>
    <xf numFmtId="0" fontId="6" fillId="0" borderId="0" xfId="0" applyFont="1" applyAlignment="1">
      <alignment horizontal="center" vertical="center"/>
    </xf>
    <xf numFmtId="0" fontId="11" fillId="3" borderId="55" xfId="0" applyFont="1" applyFill="1" applyBorder="1" applyAlignment="1">
      <alignment horizontal="center" vertical="center" wrapText="1"/>
    </xf>
    <xf numFmtId="0" fontId="11" fillId="3" borderId="56" xfId="0" applyFont="1" applyFill="1" applyBorder="1" applyAlignment="1">
      <alignment horizontal="center" vertical="center" wrapText="1"/>
    </xf>
    <xf numFmtId="0" fontId="11" fillId="9" borderId="5" xfId="0" applyFont="1" applyFill="1" applyBorder="1" applyAlignment="1">
      <alignment horizontal="center" vertical="center"/>
    </xf>
    <xf numFmtId="0" fontId="11" fillId="9" borderId="13" xfId="0" applyFont="1" applyFill="1" applyBorder="1" applyAlignment="1">
      <alignment horizontal="center" vertical="center"/>
    </xf>
    <xf numFmtId="0" fontId="11" fillId="9" borderId="2" xfId="0" applyFont="1" applyFill="1" applyBorder="1" applyAlignment="1">
      <alignment horizontal="center" vertical="center"/>
    </xf>
    <xf numFmtId="0" fontId="11" fillId="9" borderId="47" xfId="0" applyFont="1" applyFill="1" applyBorder="1" applyAlignment="1">
      <alignment horizontal="center" vertical="center"/>
    </xf>
    <xf numFmtId="0" fontId="11" fillId="9" borderId="45" xfId="0" applyFont="1" applyFill="1" applyBorder="1" applyAlignment="1">
      <alignment horizontal="center" vertical="center"/>
    </xf>
    <xf numFmtId="0" fontId="7" fillId="3" borderId="14" xfId="0" applyFont="1" applyFill="1" applyBorder="1" applyAlignment="1">
      <alignment horizontal="center" vertical="center"/>
    </xf>
    <xf numFmtId="0" fontId="7" fillId="3" borderId="15" xfId="0" applyFont="1" applyFill="1" applyBorder="1" applyAlignment="1">
      <alignment horizontal="center" vertical="center"/>
    </xf>
    <xf numFmtId="0" fontId="7" fillId="3" borderId="16" xfId="0" applyFont="1" applyFill="1" applyBorder="1" applyAlignment="1">
      <alignment horizontal="center" vertical="center"/>
    </xf>
    <xf numFmtId="0" fontId="51" fillId="47" borderId="76" xfId="63" applyFont="1" applyFill="1" applyBorder="1" applyAlignment="1">
      <alignment horizontal="left"/>
    </xf>
    <xf numFmtId="0" fontId="51" fillId="47" borderId="77" xfId="63" applyFont="1" applyFill="1" applyBorder="1" applyAlignment="1">
      <alignment horizontal="left"/>
    </xf>
    <xf numFmtId="0" fontId="51" fillId="48" borderId="76" xfId="63" applyFont="1" applyFill="1" applyBorder="1" applyAlignment="1">
      <alignment horizontal="left"/>
    </xf>
    <xf numFmtId="0" fontId="51" fillId="48" borderId="77" xfId="63" applyFont="1" applyFill="1" applyBorder="1" applyAlignment="1">
      <alignment horizontal="left"/>
    </xf>
    <xf numFmtId="44" fontId="51" fillId="48" borderId="77" xfId="63" applyNumberFormat="1" applyFont="1" applyFill="1" applyBorder="1" applyAlignment="1">
      <alignment horizontal="center"/>
    </xf>
    <xf numFmtId="0" fontId="51" fillId="48" borderId="78" xfId="63" applyFont="1" applyFill="1" applyBorder="1" applyAlignment="1">
      <alignment horizontal="center"/>
    </xf>
    <xf numFmtId="0" fontId="7" fillId="0" borderId="58" xfId="0" applyFont="1" applyBorder="1" applyAlignment="1">
      <alignment horizontal="center" vertic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13" fillId="9" borderId="76" xfId="0" applyFont="1" applyFill="1" applyBorder="1" applyAlignment="1">
      <alignment horizontal="center" vertical="center"/>
    </xf>
    <xf numFmtId="0" fontId="13" fillId="9" borderId="77" xfId="0" applyFont="1" applyFill="1" applyBorder="1" applyAlignment="1">
      <alignment horizontal="center" vertical="center"/>
    </xf>
    <xf numFmtId="0" fontId="13" fillId="9" borderId="78" xfId="0" applyFont="1" applyFill="1" applyBorder="1" applyAlignment="1">
      <alignment horizontal="center" vertical="center"/>
    </xf>
    <xf numFmtId="0" fontId="13" fillId="9" borderId="58" xfId="0" applyFont="1" applyFill="1" applyBorder="1" applyAlignment="1">
      <alignment horizontal="center" vertical="center"/>
    </xf>
    <xf numFmtId="0" fontId="13" fillId="9" borderId="59" xfId="0" applyFont="1" applyFill="1" applyBorder="1" applyAlignment="1">
      <alignment horizontal="center" vertical="center"/>
    </xf>
    <xf numFmtId="0" fontId="13" fillId="9" borderId="60" xfId="0" applyFont="1" applyFill="1" applyBorder="1" applyAlignment="1">
      <alignment horizontal="center" vertical="center"/>
    </xf>
    <xf numFmtId="0" fontId="13" fillId="9" borderId="47" xfId="0" applyFont="1" applyFill="1" applyBorder="1" applyAlignment="1">
      <alignment horizontal="center" vertical="center"/>
    </xf>
    <xf numFmtId="0" fontId="13" fillId="9" borderId="45" xfId="0" applyFont="1" applyFill="1" applyBorder="1" applyAlignment="1">
      <alignment horizontal="center" vertical="center"/>
    </xf>
    <xf numFmtId="0" fontId="13" fillId="9" borderId="4" xfId="0" applyFont="1" applyFill="1" applyBorder="1" applyAlignment="1">
      <alignment horizontal="center" vertical="center"/>
    </xf>
    <xf numFmtId="0" fontId="7" fillId="3" borderId="57" xfId="0" applyFont="1" applyFill="1" applyBorder="1" applyAlignment="1">
      <alignment horizontal="center" vertical="center"/>
    </xf>
    <xf numFmtId="0" fontId="25" fillId="0" borderId="31" xfId="0" applyFont="1" applyBorder="1" applyAlignment="1">
      <alignment horizontal="center" vertical="center"/>
    </xf>
    <xf numFmtId="0" fontId="25" fillId="0" borderId="67" xfId="0" applyFont="1" applyBorder="1" applyAlignment="1">
      <alignment horizontal="center" vertical="center"/>
    </xf>
    <xf numFmtId="0" fontId="0" fillId="0" borderId="0" xfId="0" applyAlignment="1">
      <alignment horizontal="left"/>
    </xf>
    <xf numFmtId="0" fontId="0" fillId="0" borderId="22" xfId="0" applyBorder="1" applyAlignment="1">
      <alignment horizontal="center" vertical="center"/>
    </xf>
    <xf numFmtId="0" fontId="0" fillId="0" borderId="25" xfId="0" applyBorder="1" applyAlignment="1">
      <alignment horizontal="center" vertical="center" wrapText="1"/>
    </xf>
    <xf numFmtId="0" fontId="0" fillId="0" borderId="29" xfId="0" applyBorder="1" applyAlignment="1">
      <alignment horizontal="center" vertical="center" wrapText="1"/>
    </xf>
    <xf numFmtId="0" fontId="0" fillId="0" borderId="38" xfId="0" applyBorder="1" applyAlignment="1">
      <alignment horizontal="center" vertical="center" wrapText="1"/>
    </xf>
    <xf numFmtId="0" fontId="25" fillId="0" borderId="23" xfId="0" applyFont="1" applyBorder="1" applyAlignment="1">
      <alignment horizontal="center"/>
    </xf>
    <xf numFmtId="0" fontId="0" fillId="0" borderId="23" xfId="0" applyBorder="1" applyAlignment="1">
      <alignment horizontal="center" vertical="center" wrapText="1"/>
    </xf>
    <xf numFmtId="0" fontId="18" fillId="0" borderId="22" xfId="0" applyFont="1" applyBorder="1" applyAlignment="1">
      <alignment horizontal="center" vertical="center"/>
    </xf>
    <xf numFmtId="0" fontId="18" fillId="0" borderId="23" xfId="0" applyFont="1" applyBorder="1" applyAlignment="1">
      <alignment horizontal="center" vertical="center" wrapText="1"/>
    </xf>
    <xf numFmtId="0" fontId="55" fillId="0" borderId="23" xfId="0" applyFont="1" applyBorder="1" applyAlignment="1">
      <alignment horizontal="center"/>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9" xfId="0" applyBorder="1" applyAlignment="1">
      <alignment horizontal="center" vertical="center"/>
    </xf>
    <xf numFmtId="0" fontId="25" fillId="0" borderId="35" xfId="0" applyFont="1" applyBorder="1" applyAlignment="1">
      <alignment horizontal="center"/>
    </xf>
    <xf numFmtId="0" fontId="25" fillId="0" borderId="41" xfId="0" applyFont="1" applyBorder="1" applyAlignment="1">
      <alignment horizontal="center"/>
    </xf>
    <xf numFmtId="0" fontId="25" fillId="0" borderId="43" xfId="0" applyFont="1" applyBorder="1" applyAlignment="1">
      <alignment horizontal="center"/>
    </xf>
    <xf numFmtId="0" fontId="25" fillId="0" borderId="0" xfId="0" applyFont="1" applyAlignment="1">
      <alignment horizontal="center" vertical="center"/>
    </xf>
    <xf numFmtId="0" fontId="25" fillId="0" borderId="76" xfId="0" applyFont="1" applyBorder="1" applyAlignment="1">
      <alignment horizontal="center"/>
    </xf>
    <xf numFmtId="0" fontId="25" fillId="0" borderId="77" xfId="0" applyFont="1" applyBorder="1" applyAlignment="1">
      <alignment horizontal="center"/>
    </xf>
    <xf numFmtId="0" fontId="25" fillId="0" borderId="78" xfId="0" applyFont="1" applyBorder="1" applyAlignment="1">
      <alignment horizontal="center"/>
    </xf>
    <xf numFmtId="0" fontId="0" fillId="0" borderId="23" xfId="0" applyBorder="1" applyAlignment="1">
      <alignment horizontal="center" vertical="center"/>
    </xf>
    <xf numFmtId="3" fontId="0" fillId="0" borderId="0" xfId="0" applyNumberFormat="1" applyAlignment="1">
      <alignment horizontal="right"/>
    </xf>
    <xf numFmtId="43" fontId="0" fillId="0" borderId="0" xfId="1" applyFont="1" applyBorder="1" applyAlignment="1">
      <alignment horizontal="right"/>
    </xf>
    <xf numFmtId="0" fontId="28" fillId="0" borderId="0" xfId="0" applyFont="1" applyAlignment="1">
      <alignment horizontal="left"/>
    </xf>
    <xf numFmtId="8" fontId="0" fillId="0" borderId="0" xfId="0" applyNumberFormat="1" applyAlignment="1">
      <alignment horizontal="right"/>
    </xf>
    <xf numFmtId="3" fontId="19" fillId="0" borderId="0" xfId="0" applyNumberFormat="1" applyFont="1" applyAlignment="1">
      <alignment horizontal="right"/>
    </xf>
    <xf numFmtId="0" fontId="0" fillId="0" borderId="35" xfId="0" applyBorder="1" applyAlignment="1">
      <alignment horizontal="left"/>
    </xf>
    <xf numFmtId="0" fontId="0" fillId="0" borderId="41" xfId="0" applyBorder="1" applyAlignment="1">
      <alignment horizontal="left"/>
    </xf>
    <xf numFmtId="0" fontId="0" fillId="0" borderId="43" xfId="0" applyBorder="1" applyAlignment="1">
      <alignment horizontal="left"/>
    </xf>
    <xf numFmtId="44" fontId="2" fillId="0" borderId="35" xfId="12" applyFont="1" applyBorder="1" applyAlignment="1">
      <alignment horizontal="center"/>
    </xf>
    <xf numFmtId="44" fontId="2" fillId="0" borderId="43" xfId="12" applyFont="1" applyBorder="1" applyAlignment="1">
      <alignment horizontal="center"/>
    </xf>
    <xf numFmtId="43" fontId="0" fillId="0" borderId="35" xfId="0" applyNumberFormat="1" applyBorder="1" applyAlignment="1">
      <alignment horizontal="center"/>
    </xf>
    <xf numFmtId="0" fontId="0" fillId="0" borderId="43" xfId="0" applyBorder="1" applyAlignment="1">
      <alignment horizontal="center"/>
    </xf>
    <xf numFmtId="43" fontId="0" fillId="0" borderId="42" xfId="0" applyNumberFormat="1" applyBorder="1" applyAlignment="1">
      <alignment horizontal="center"/>
    </xf>
    <xf numFmtId="0" fontId="19" fillId="0" borderId="0" xfId="0" applyFont="1" applyAlignment="1">
      <alignment horizontal="right"/>
    </xf>
    <xf numFmtId="0" fontId="19" fillId="0" borderId="35" xfId="0" applyFont="1" applyBorder="1" applyAlignment="1">
      <alignment horizontal="left"/>
    </xf>
    <xf numFmtId="0" fontId="0" fillId="0" borderId="35" xfId="0" applyBorder="1" applyAlignment="1">
      <alignment horizontal="center"/>
    </xf>
    <xf numFmtId="0" fontId="0" fillId="0" borderId="0" xfId="0" applyAlignment="1">
      <alignment horizontal="center"/>
    </xf>
    <xf numFmtId="0" fontId="19" fillId="0" borderId="41" xfId="0" applyFont="1" applyBorder="1" applyAlignment="1">
      <alignment horizontal="left"/>
    </xf>
    <xf numFmtId="0" fontId="19" fillId="0" borderId="43" xfId="0" applyFont="1" applyBorder="1" applyAlignment="1">
      <alignment horizontal="left"/>
    </xf>
    <xf numFmtId="44" fontId="29" fillId="0" borderId="35" xfId="12" applyFont="1" applyBorder="1" applyAlignment="1">
      <alignment horizontal="center"/>
    </xf>
    <xf numFmtId="44" fontId="29" fillId="0" borderId="43" xfId="12" applyFont="1" applyBorder="1" applyAlignment="1">
      <alignment horizontal="center"/>
    </xf>
    <xf numFmtId="9" fontId="0" fillId="0" borderId="35" xfId="0" applyNumberFormat="1" applyBorder="1" applyAlignment="1">
      <alignment horizontal="center"/>
    </xf>
    <xf numFmtId="0" fontId="6" fillId="0" borderId="0" xfId="0" applyFont="1" applyAlignment="1">
      <alignment horizontal="center"/>
    </xf>
    <xf numFmtId="0" fontId="7" fillId="3" borderId="0" xfId="0" applyFont="1" applyFill="1" applyBorder="1" applyAlignment="1">
      <alignment horizontal="center" vertical="center"/>
    </xf>
    <xf numFmtId="0" fontId="7" fillId="0" borderId="5" xfId="0" applyFont="1" applyBorder="1" applyAlignment="1">
      <alignment horizontal="center" vertical="center" wrapText="1"/>
    </xf>
    <xf numFmtId="0" fontId="7" fillId="0" borderId="2" xfId="0" applyFont="1" applyBorder="1" applyAlignment="1">
      <alignment horizontal="center" vertical="center" wrapText="1"/>
    </xf>
    <xf numFmtId="0" fontId="7" fillId="3" borderId="0" xfId="0" applyFont="1" applyFill="1" applyAlignment="1">
      <alignment horizontal="center" vertical="center"/>
    </xf>
    <xf numFmtId="0" fontId="7" fillId="4" borderId="0" xfId="0" applyFont="1" applyFill="1" applyBorder="1" applyAlignment="1">
      <alignment horizontal="center" vertical="center"/>
    </xf>
    <xf numFmtId="0" fontId="7" fillId="4" borderId="0" xfId="0" applyFont="1" applyFill="1" applyBorder="1" applyAlignment="1">
      <alignment horizontal="center" vertical="center" wrapText="1"/>
    </xf>
  </cellXfs>
  <cellStyles count="75">
    <cellStyle name="20% - Ênfase1" xfId="40" builtinId="30" customBuiltin="1"/>
    <cellStyle name="20% - Ênfase2" xfId="44" builtinId="34" customBuiltin="1"/>
    <cellStyle name="20% - Ênfase3" xfId="48" builtinId="38" customBuiltin="1"/>
    <cellStyle name="20% - Ênfase4" xfId="52" builtinId="42" customBuiltin="1"/>
    <cellStyle name="20% - Ênfase5" xfId="56" builtinId="46" customBuiltin="1"/>
    <cellStyle name="20% - Ênfase6" xfId="60" builtinId="50" customBuiltin="1"/>
    <cellStyle name="40% - Ênfase1" xfId="41" builtinId="31" customBuiltin="1"/>
    <cellStyle name="40% - Ênfase2" xfId="45" builtinId="35" customBuiltin="1"/>
    <cellStyle name="40% - Ênfase3" xfId="49" builtinId="39" customBuiltin="1"/>
    <cellStyle name="40% - Ênfase4" xfId="53" builtinId="43" customBuiltin="1"/>
    <cellStyle name="40% - Ênfase5" xfId="57" builtinId="47" customBuiltin="1"/>
    <cellStyle name="40% - Ênfase6" xfId="61" builtinId="51" customBuiltin="1"/>
    <cellStyle name="60% - Ênfase1" xfId="42" builtinId="32" customBuiltin="1"/>
    <cellStyle name="60% - Ênfase2" xfId="46" builtinId="36" customBuiltin="1"/>
    <cellStyle name="60% - Ênfase3" xfId="50" builtinId="40" customBuiltin="1"/>
    <cellStyle name="60% - Ênfase4" xfId="54" builtinId="44" customBuiltin="1"/>
    <cellStyle name="60% - Ênfase5" xfId="58" builtinId="48" customBuiltin="1"/>
    <cellStyle name="60% - Ênfase6" xfId="62" builtinId="52" customBuiltin="1"/>
    <cellStyle name="Bom" xfId="28" builtinId="26" customBuiltin="1"/>
    <cellStyle name="Cálculo" xfId="33" builtinId="22" customBuiltin="1"/>
    <cellStyle name="Célula de Verificação" xfId="35" builtinId="23" customBuiltin="1"/>
    <cellStyle name="Célula Vinculada" xfId="34" builtinId="24" customBuiltin="1"/>
    <cellStyle name="Ênfase1" xfId="39" builtinId="29" customBuiltin="1"/>
    <cellStyle name="Ênfase2" xfId="43" builtinId="33" customBuiltin="1"/>
    <cellStyle name="Ênfase3" xfId="47" builtinId="37" customBuiltin="1"/>
    <cellStyle name="Ênfase4" xfId="51" builtinId="41" customBuiltin="1"/>
    <cellStyle name="Ênfase5" xfId="55" builtinId="45" customBuiltin="1"/>
    <cellStyle name="Ênfase6" xfId="59" builtinId="49" customBuiltin="1"/>
    <cellStyle name="Entrada" xfId="31" builtinId="20" customBuiltin="1"/>
    <cellStyle name="Incorreto" xfId="29" builtinId="27" customBuiltin="1"/>
    <cellStyle name="Moeda" xfId="12" builtinId="4"/>
    <cellStyle name="Moeda 2" xfId="23"/>
    <cellStyle name="Moeda 3" xfId="74"/>
    <cellStyle name="Neutra" xfId="30" builtinId="28" customBuiltin="1"/>
    <cellStyle name="Normal" xfId="0" builtinId="0"/>
    <cellStyle name="Normal 2" xfId="3"/>
    <cellStyle name="Normal 2 2" xfId="69"/>
    <cellStyle name="Normal 3" xfId="14"/>
    <cellStyle name="Normal 4" xfId="13"/>
    <cellStyle name="Normal 5" xfId="63"/>
    <cellStyle name="Nota 2" xfId="67"/>
    <cellStyle name="Porcentagem" xfId="2" builtinId="5"/>
    <cellStyle name="Saída" xfId="32" builtinId="21" customBuiltin="1"/>
    <cellStyle name="Separador de milhares" xfId="1" builtinId="3"/>
    <cellStyle name="Texto de Aviso" xfId="36" builtinId="11" customBuiltin="1"/>
    <cellStyle name="Texto Explicativo" xfId="37" builtinId="53" customBuiltin="1"/>
    <cellStyle name="Título 1" xfId="24" builtinId="16" customBuiltin="1"/>
    <cellStyle name="Título 2" xfId="25" builtinId="17" customBuiltin="1"/>
    <cellStyle name="Título 3" xfId="26" builtinId="18" customBuiltin="1"/>
    <cellStyle name="Título 4" xfId="27" builtinId="19" customBuiltin="1"/>
    <cellStyle name="Título 5" xfId="66"/>
    <cellStyle name="Total" xfId="38" builtinId="25" customBuiltin="1"/>
    <cellStyle name="Vírgula 2" xfId="6"/>
    <cellStyle name="Vírgula 3" xfId="7"/>
    <cellStyle name="Vírgula 3 2" xfId="5"/>
    <cellStyle name="Vírgula 3 2 2" xfId="17"/>
    <cellStyle name="Vírgula 3 2 3" xfId="72"/>
    <cellStyle name="Vírgula 3 3" xfId="18"/>
    <cellStyle name="Vírgula 3 4" xfId="65"/>
    <cellStyle name="Vírgula 4" xfId="8"/>
    <cellStyle name="Vírgula 4 2" xfId="10"/>
    <cellStyle name="Vírgula 4 2 2" xfId="21"/>
    <cellStyle name="Vírgula 4 2 3" xfId="71"/>
    <cellStyle name="Vírgula 4 3" xfId="19"/>
    <cellStyle name="Vírgula 4 4" xfId="64"/>
    <cellStyle name="Vírgula 5" xfId="11"/>
    <cellStyle name="Vírgula 5 2" xfId="4"/>
    <cellStyle name="Vírgula 5 2 2" xfId="16"/>
    <cellStyle name="Vírgula 5 2 3" xfId="73"/>
    <cellStyle name="Vírgula 5 3" xfId="22"/>
    <cellStyle name="Vírgula 5 4" xfId="68"/>
    <cellStyle name="Vírgula 6" xfId="9"/>
    <cellStyle name="Vírgula 6 2" xfId="20"/>
    <cellStyle name="Vírgula 6 3" xfId="70"/>
    <cellStyle name="Vírgula 7"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456795</xdr:colOff>
      <xdr:row>1</xdr:row>
      <xdr:rowOff>66672</xdr:rowOff>
    </xdr:from>
    <xdr:to>
      <xdr:col>6</xdr:col>
      <xdr:colOff>348803</xdr:colOff>
      <xdr:row>5</xdr:row>
      <xdr:rowOff>100613</xdr:rowOff>
    </xdr:to>
    <xdr:sp macro="" textlink="">
      <xdr:nvSpPr>
        <xdr:cNvPr id="2051" name="Text Box 3"/>
        <xdr:cNvSpPr txBox="1">
          <a:spLocks noChangeArrowheads="1"/>
        </xdr:cNvSpPr>
      </xdr:nvSpPr>
      <xdr:spPr bwMode="auto">
        <a:xfrm>
          <a:off x="1865422" y="254489"/>
          <a:ext cx="4520353" cy="785209"/>
        </a:xfrm>
        <a:prstGeom prst="rect">
          <a:avLst/>
        </a:prstGeom>
        <a:solidFill>
          <a:srgbClr val="FFFFFF">
            <a:alpha val="0"/>
          </a:srgbClr>
        </a:solidFill>
        <a:ln w="9525">
          <a:noFill/>
          <a:miter lim="800000"/>
          <a:headEnd/>
          <a:tailEnd/>
        </a:ln>
      </xdr:spPr>
      <xdr:txBody>
        <a:bodyPr vertOverflow="clip" wrap="square" lIns="0" tIns="0" rIns="0" bIns="0" anchor="t" upright="1"/>
        <a:lstStyle/>
        <a:p>
          <a:pPr algn="l" rtl="1">
            <a:defRPr sz="1000"/>
          </a:pPr>
          <a:r>
            <a:rPr lang="pt-BR" sz="1000" b="1" i="0" strike="noStrike">
              <a:solidFill>
                <a:srgbClr val="000000"/>
              </a:solidFill>
              <a:latin typeface="+mn-lt"/>
              <a:cs typeface="Calibri"/>
            </a:rPr>
            <a:t>Ministério do Desenvolvimento Regional  – MDR</a:t>
          </a:r>
        </a:p>
        <a:p>
          <a:pPr algn="l" rtl="1">
            <a:defRPr sz="1000"/>
          </a:pPr>
          <a:r>
            <a:rPr lang="pt-BR" sz="1000" b="1" i="0" strike="noStrike">
              <a:solidFill>
                <a:srgbClr val="000000"/>
              </a:solidFill>
              <a:latin typeface="+mn-lt"/>
              <a:cs typeface="Times New Roman"/>
            </a:rPr>
            <a:t>Companhia de Desenvolvimento dos Vales do São Francisco e do Parnaíba</a:t>
          </a:r>
        </a:p>
        <a:p>
          <a:pPr algn="l" rtl="1">
            <a:defRPr sz="1000"/>
          </a:pPr>
          <a:r>
            <a:rPr lang="pt-BR" sz="1000" b="1" i="0" strike="noStrike">
              <a:solidFill>
                <a:srgbClr val="000000"/>
              </a:solidFill>
              <a:latin typeface="+mn-lt"/>
              <a:cs typeface="Times New Roman"/>
            </a:rPr>
            <a:t>2ª GRA - 2ª Superintendência Regional</a:t>
          </a:r>
        </a:p>
        <a:p>
          <a:pPr algn="l" rtl="1">
            <a:defRPr sz="1000"/>
          </a:pPr>
          <a:endParaRPr lang="pt-BR" sz="900" b="1" i="0" strike="noStrike">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3" Type="http://schemas.openxmlformats.org/officeDocument/2006/relationships/oleObject" Target="../embeddings/oleObject2.bin"/><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U536"/>
  <sheetViews>
    <sheetView showGridLines="0" tabSelected="1" topLeftCell="C359" zoomScale="70" zoomScaleNormal="70" workbookViewId="0">
      <selection activeCell="C538" sqref="C538:K571"/>
    </sheetView>
  </sheetViews>
  <sheetFormatPr defaultRowHeight="24" customHeight="1"/>
  <cols>
    <col min="1" max="1" width="42.140625" style="17" customWidth="1"/>
    <col min="2" max="2" width="31.42578125" style="17" customWidth="1"/>
    <col min="3" max="3" width="31.85546875" style="17" customWidth="1"/>
    <col min="4" max="4" width="22.28515625" style="17" customWidth="1"/>
    <col min="5" max="5" width="23" style="17" customWidth="1"/>
    <col min="6" max="8" width="22.85546875" style="17" customWidth="1"/>
    <col min="9" max="10" width="17.7109375" style="17" customWidth="1"/>
    <col min="11" max="11" width="21.140625" style="17" customWidth="1"/>
    <col min="12" max="12" width="33" style="17" customWidth="1"/>
    <col min="13" max="13" width="18.140625" style="17" customWidth="1"/>
    <col min="14" max="14" width="5" style="17" customWidth="1"/>
    <col min="15" max="15" width="22.7109375" style="17" customWidth="1"/>
    <col min="16" max="16" width="17.5703125" style="17" customWidth="1"/>
    <col min="17" max="17" width="24.140625" style="17" customWidth="1"/>
    <col min="18" max="18" width="22.5703125" style="17" customWidth="1"/>
    <col min="19" max="20" width="9.140625" style="17"/>
    <col min="21" max="21" width="15.140625" style="17" bestFit="1" customWidth="1"/>
    <col min="22" max="16384" width="9.140625" style="17"/>
  </cols>
  <sheetData>
    <row r="1" spans="1:12" ht="24" customHeight="1">
      <c r="A1" s="431" t="s">
        <v>0</v>
      </c>
      <c r="B1" s="431"/>
      <c r="C1" s="431"/>
      <c r="D1" s="431"/>
      <c r="E1" s="431"/>
      <c r="F1" s="431"/>
      <c r="G1" s="431"/>
      <c r="H1" s="431"/>
      <c r="I1" s="431"/>
      <c r="J1" s="431"/>
      <c r="K1" s="431"/>
      <c r="L1" s="431"/>
    </row>
    <row r="2" spans="1:12" ht="24" customHeight="1">
      <c r="A2" s="431" t="s">
        <v>1</v>
      </c>
      <c r="B2" s="431"/>
      <c r="C2" s="431"/>
      <c r="D2" s="431"/>
      <c r="E2" s="431"/>
      <c r="F2" s="431"/>
      <c r="G2" s="431"/>
      <c r="H2" s="431"/>
      <c r="I2" s="431"/>
      <c r="J2" s="431"/>
      <c r="K2" s="431"/>
      <c r="L2" s="431"/>
    </row>
    <row r="3" spans="1:12" ht="177" customHeight="1">
      <c r="A3" s="432" t="s">
        <v>2</v>
      </c>
      <c r="B3" s="432"/>
      <c r="C3" s="432"/>
      <c r="D3" s="432"/>
      <c r="E3" s="432"/>
      <c r="F3" s="432"/>
      <c r="G3" s="432"/>
      <c r="H3" s="432"/>
      <c r="I3" s="432"/>
      <c r="J3" s="432"/>
      <c r="K3" s="432"/>
      <c r="L3" s="432"/>
    </row>
    <row r="4" spans="1:12" ht="24" customHeight="1">
      <c r="A4" s="18"/>
      <c r="B4" s="18"/>
      <c r="C4" s="18"/>
      <c r="D4" s="18"/>
      <c r="E4" s="18"/>
      <c r="F4" s="18"/>
      <c r="G4" s="18"/>
      <c r="H4" s="18"/>
      <c r="I4" s="18"/>
      <c r="J4" s="18"/>
      <c r="K4" s="30"/>
      <c r="L4" s="30"/>
    </row>
    <row r="5" spans="1:12" ht="24" customHeight="1">
      <c r="A5" s="433" t="s">
        <v>3</v>
      </c>
      <c r="B5" s="433"/>
      <c r="C5" s="433"/>
      <c r="D5" s="433"/>
      <c r="E5" s="433"/>
      <c r="F5" s="433"/>
      <c r="G5" s="433"/>
      <c r="H5" s="433"/>
      <c r="I5" s="433"/>
      <c r="J5" s="433"/>
      <c r="K5" s="433"/>
      <c r="L5" s="433"/>
    </row>
    <row r="6" spans="1:12" ht="40.5" customHeight="1">
      <c r="A6" s="432" t="s">
        <v>4</v>
      </c>
      <c r="B6" s="432"/>
      <c r="C6" s="432"/>
      <c r="D6" s="432"/>
      <c r="E6" s="432"/>
      <c r="F6" s="432"/>
      <c r="G6" s="432"/>
      <c r="H6" s="432"/>
      <c r="I6" s="432"/>
      <c r="J6" s="432"/>
      <c r="K6" s="432"/>
      <c r="L6" s="432"/>
    </row>
    <row r="7" spans="1:12" ht="24" customHeight="1">
      <c r="A7" s="18"/>
      <c r="B7" s="18"/>
      <c r="C7" s="18"/>
      <c r="D7" s="18"/>
      <c r="E7" s="18"/>
      <c r="F7" s="18"/>
      <c r="G7" s="18"/>
      <c r="H7" s="18"/>
      <c r="I7" s="18"/>
      <c r="J7" s="18"/>
      <c r="K7" s="30"/>
      <c r="L7" s="30"/>
    </row>
    <row r="8" spans="1:12" ht="24" customHeight="1">
      <c r="A8" s="434" t="s">
        <v>5</v>
      </c>
      <c r="B8" s="435"/>
      <c r="C8" s="435"/>
      <c r="D8" s="435"/>
      <c r="E8" s="435"/>
      <c r="F8" s="435"/>
      <c r="G8" s="435"/>
      <c r="H8" s="435"/>
      <c r="I8" s="435"/>
      <c r="J8" s="435"/>
      <c r="K8" s="435"/>
      <c r="L8" s="435"/>
    </row>
    <row r="9" spans="1:12" ht="33.75" customHeight="1">
      <c r="A9" s="432" t="s">
        <v>6</v>
      </c>
      <c r="B9" s="432"/>
      <c r="C9" s="432"/>
      <c r="D9" s="432"/>
      <c r="E9" s="432"/>
      <c r="F9" s="432"/>
      <c r="G9" s="432"/>
      <c r="H9" s="432"/>
      <c r="I9" s="432"/>
      <c r="J9" s="432"/>
      <c r="K9" s="432"/>
      <c r="L9" s="432"/>
    </row>
    <row r="11" spans="1:12" ht="24" customHeight="1" thickBot="1">
      <c r="A11" s="436" t="s">
        <v>5</v>
      </c>
      <c r="B11" s="437"/>
    </row>
    <row r="12" spans="1:12" ht="24" customHeight="1">
      <c r="A12" s="21" t="s">
        <v>7</v>
      </c>
      <c r="B12" s="200">
        <v>1268.74</v>
      </c>
    </row>
    <row r="13" spans="1:12" ht="24" customHeight="1" thickBot="1">
      <c r="A13" s="22" t="s">
        <v>8</v>
      </c>
      <c r="B13" s="201">
        <v>1268.74</v>
      </c>
    </row>
    <row r="15" spans="1:12" ht="24" customHeight="1">
      <c r="A15" s="434" t="s">
        <v>9</v>
      </c>
      <c r="B15" s="435"/>
      <c r="C15" s="435"/>
      <c r="D15" s="435"/>
      <c r="E15" s="435"/>
      <c r="F15" s="435"/>
      <c r="G15" s="435"/>
      <c r="H15" s="435"/>
      <c r="I15" s="435"/>
      <c r="J15" s="435"/>
      <c r="K15" s="435"/>
      <c r="L15" s="435"/>
    </row>
    <row r="16" spans="1:12" ht="85.5" customHeight="1">
      <c r="A16" s="432" t="s">
        <v>10</v>
      </c>
      <c r="B16" s="432"/>
      <c r="C16" s="432"/>
      <c r="D16" s="432"/>
      <c r="E16" s="432"/>
      <c r="F16" s="432"/>
      <c r="G16" s="432"/>
      <c r="H16" s="432"/>
      <c r="I16" s="432"/>
      <c r="J16" s="432"/>
      <c r="K16" s="432"/>
      <c r="L16" s="432"/>
    </row>
    <row r="17" spans="1:12" ht="24" customHeight="1" thickBot="1">
      <c r="A17" s="18"/>
      <c r="B17" s="18"/>
      <c r="C17" s="18"/>
      <c r="D17" s="18"/>
      <c r="E17" s="18"/>
      <c r="F17" s="18"/>
      <c r="G17" s="18"/>
      <c r="H17" s="18"/>
      <c r="I17" s="18"/>
      <c r="J17" s="18"/>
    </row>
    <row r="18" spans="1:12" ht="24" customHeight="1" thickBot="1">
      <c r="A18" s="438" t="s">
        <v>9</v>
      </c>
      <c r="B18" s="439"/>
      <c r="C18" s="439"/>
      <c r="D18" s="440"/>
    </row>
    <row r="19" spans="1:12" ht="24" customHeight="1" thickBot="1">
      <c r="A19" s="24" t="s">
        <v>11</v>
      </c>
      <c r="B19" s="25" t="s">
        <v>12</v>
      </c>
      <c r="C19" s="25" t="s">
        <v>13</v>
      </c>
      <c r="D19" s="26" t="s">
        <v>14</v>
      </c>
    </row>
    <row r="20" spans="1:12" ht="24" customHeight="1">
      <c r="A20" s="27" t="s">
        <v>15</v>
      </c>
      <c r="B20" s="195">
        <f>B12</f>
        <v>1268.74</v>
      </c>
      <c r="C20" s="29"/>
      <c r="D20" s="203">
        <f>B20*C20</f>
        <v>0</v>
      </c>
      <c r="E20" s="30"/>
      <c r="K20" s="30"/>
      <c r="L20" s="30"/>
    </row>
    <row r="21" spans="1:12" ht="24" customHeight="1" thickBot="1">
      <c r="A21" s="22" t="s">
        <v>16</v>
      </c>
      <c r="B21" s="202">
        <f>B13</f>
        <v>1268.74</v>
      </c>
      <c r="C21" s="32">
        <v>0.3</v>
      </c>
      <c r="D21" s="204">
        <f>B21*C21</f>
        <v>380.62200000000001</v>
      </c>
      <c r="E21" s="30"/>
      <c r="K21" s="30"/>
      <c r="L21" s="30"/>
    </row>
    <row r="23" spans="1:12" ht="24" customHeight="1">
      <c r="A23" s="434" t="s">
        <v>17</v>
      </c>
      <c r="B23" s="435"/>
      <c r="C23" s="435"/>
      <c r="D23" s="435"/>
      <c r="E23" s="435"/>
      <c r="F23" s="435"/>
      <c r="G23" s="435"/>
      <c r="H23" s="435"/>
      <c r="I23" s="435"/>
      <c r="J23" s="435"/>
      <c r="K23" s="435"/>
      <c r="L23" s="435"/>
    </row>
    <row r="24" spans="1:12" ht="72" customHeight="1">
      <c r="A24" s="432" t="s">
        <v>18</v>
      </c>
      <c r="B24" s="432"/>
      <c r="C24" s="432"/>
      <c r="D24" s="432"/>
      <c r="E24" s="432"/>
      <c r="F24" s="432"/>
      <c r="G24" s="432"/>
      <c r="H24" s="432"/>
      <c r="I24" s="432"/>
      <c r="J24" s="432"/>
      <c r="K24" s="432"/>
      <c r="L24" s="432"/>
    </row>
    <row r="25" spans="1:12" ht="24" customHeight="1" thickBot="1">
      <c r="A25" s="30"/>
      <c r="B25" s="30"/>
      <c r="C25" s="30"/>
      <c r="D25" s="30"/>
      <c r="F25" s="30"/>
      <c r="G25" s="302"/>
      <c r="H25" s="302"/>
      <c r="I25" s="30"/>
      <c r="J25" s="356"/>
    </row>
    <row r="26" spans="1:12" ht="24" customHeight="1" thickBot="1">
      <c r="A26" s="436" t="s">
        <v>19</v>
      </c>
      <c r="B26" s="441"/>
      <c r="C26" s="441"/>
      <c r="D26" s="437"/>
    </row>
    <row r="27" spans="1:12" ht="24" customHeight="1" thickBot="1">
      <c r="A27" s="24" t="s">
        <v>11</v>
      </c>
      <c r="B27" s="25" t="s">
        <v>12</v>
      </c>
      <c r="C27" s="25" t="s">
        <v>13</v>
      </c>
      <c r="D27" s="26" t="s">
        <v>20</v>
      </c>
    </row>
    <row r="28" spans="1:12" ht="24" customHeight="1">
      <c r="A28" s="248" t="s">
        <v>21</v>
      </c>
      <c r="B28" s="249">
        <f>B12</f>
        <v>1268.74</v>
      </c>
      <c r="C28" s="250">
        <v>0.3</v>
      </c>
      <c r="D28" s="251">
        <f>B28*C28</f>
        <v>380.62200000000001</v>
      </c>
    </row>
    <row r="29" spans="1:12" ht="24" customHeight="1">
      <c r="A29" s="36" t="s">
        <v>22</v>
      </c>
      <c r="B29" s="196">
        <f>B13</f>
        <v>1268.74</v>
      </c>
      <c r="C29" s="38">
        <f>C28</f>
        <v>0.3</v>
      </c>
      <c r="D29" s="198">
        <f>B29*C29</f>
        <v>380.62200000000001</v>
      </c>
    </row>
    <row r="30" spans="1:12" ht="24" customHeight="1">
      <c r="A30" s="252" t="s">
        <v>23</v>
      </c>
      <c r="B30" s="196">
        <f>B21</f>
        <v>1268.74</v>
      </c>
      <c r="C30" s="38">
        <f>C29</f>
        <v>0.3</v>
      </c>
      <c r="D30" s="198">
        <f>B30*C30</f>
        <v>380.62200000000001</v>
      </c>
    </row>
    <row r="31" spans="1:12" ht="24" customHeight="1" thickBot="1">
      <c r="A31" s="243" t="s">
        <v>24</v>
      </c>
      <c r="B31" s="244">
        <f>B21</f>
        <v>1268.74</v>
      </c>
      <c r="C31" s="245">
        <f>C30</f>
        <v>0.3</v>
      </c>
      <c r="D31" s="246">
        <f>B31*C31</f>
        <v>380.62200000000001</v>
      </c>
    </row>
    <row r="34" spans="1:12" ht="24" customHeight="1">
      <c r="A34" s="434" t="s">
        <v>25</v>
      </c>
      <c r="B34" s="435"/>
      <c r="C34" s="435"/>
      <c r="D34" s="435"/>
      <c r="E34" s="435"/>
      <c r="F34" s="435"/>
      <c r="G34" s="435"/>
      <c r="H34" s="435"/>
      <c r="I34" s="435"/>
      <c r="J34" s="435"/>
      <c r="K34" s="435"/>
      <c r="L34" s="435"/>
    </row>
    <row r="35" spans="1:12" ht="69.75" customHeight="1">
      <c r="A35" s="432" t="s">
        <v>26</v>
      </c>
      <c r="B35" s="432"/>
      <c r="C35" s="432"/>
      <c r="D35" s="432"/>
      <c r="E35" s="432"/>
      <c r="F35" s="432"/>
      <c r="G35" s="432"/>
      <c r="H35" s="432"/>
      <c r="I35" s="432"/>
      <c r="J35" s="432"/>
      <c r="K35" s="432"/>
      <c r="L35" s="432"/>
    </row>
    <row r="37" spans="1:12" ht="24" customHeight="1" thickBot="1">
      <c r="A37" s="438" t="s">
        <v>25</v>
      </c>
      <c r="B37" s="439"/>
      <c r="C37" s="439"/>
      <c r="D37" s="439"/>
      <c r="E37" s="440"/>
    </row>
    <row r="38" spans="1:12" ht="24" customHeight="1" thickBot="1">
      <c r="A38" s="24" t="s">
        <v>11</v>
      </c>
      <c r="B38" s="25" t="s">
        <v>27</v>
      </c>
      <c r="C38" s="25" t="s">
        <v>28</v>
      </c>
      <c r="D38" s="25" t="s">
        <v>13</v>
      </c>
      <c r="E38" s="26" t="s">
        <v>20</v>
      </c>
    </row>
    <row r="39" spans="1:12" ht="24" customHeight="1" thickBot="1">
      <c r="A39" s="27" t="s">
        <v>29</v>
      </c>
      <c r="B39" s="195">
        <f>B12+D29</f>
        <v>1649.3620000000001</v>
      </c>
      <c r="C39" s="41">
        <f>7/12</f>
        <v>0.58333333333333337</v>
      </c>
      <c r="D39" s="34">
        <v>0.35</v>
      </c>
      <c r="E39" s="197">
        <f>B39*C39*D39</f>
        <v>336.7447416666667</v>
      </c>
    </row>
    <row r="40" spans="1:12" ht="24" customHeight="1" thickBot="1">
      <c r="A40" s="22" t="s">
        <v>16</v>
      </c>
      <c r="B40" s="202">
        <f>B13+D30</f>
        <v>1649.3620000000001</v>
      </c>
      <c r="C40" s="41">
        <f>7/12</f>
        <v>0.58333333333333337</v>
      </c>
      <c r="D40" s="42">
        <v>0.35</v>
      </c>
      <c r="E40" s="197">
        <f>B40*C40*D40</f>
        <v>336.7447416666667</v>
      </c>
    </row>
    <row r="41" spans="1:12" ht="24" customHeight="1" thickBot="1">
      <c r="A41" s="438" t="s">
        <v>30</v>
      </c>
      <c r="B41" s="439"/>
      <c r="C41" s="439"/>
      <c r="D41" s="439"/>
      <c r="E41" s="440"/>
    </row>
    <row r="42" spans="1:12" ht="24" customHeight="1" thickBot="1">
      <c r="A42" s="24" t="s">
        <v>11</v>
      </c>
      <c r="B42" s="25" t="s">
        <v>27</v>
      </c>
      <c r="C42" s="25" t="s">
        <v>28</v>
      </c>
      <c r="D42" s="25" t="s">
        <v>13</v>
      </c>
      <c r="E42" s="26" t="s">
        <v>20</v>
      </c>
    </row>
    <row r="43" spans="1:12" ht="24" customHeight="1" thickBot="1">
      <c r="A43" s="27" t="s">
        <v>29</v>
      </c>
      <c r="B43" s="195">
        <f>B12+D29</f>
        <v>1649.3620000000001</v>
      </c>
      <c r="C43" s="41">
        <f>1/12</f>
        <v>8.3333333333333329E-2</v>
      </c>
      <c r="D43" s="43">
        <f>1+D39</f>
        <v>1.35</v>
      </c>
      <c r="E43" s="197">
        <f>B43*C43*D43</f>
        <v>185.553225</v>
      </c>
    </row>
    <row r="44" spans="1:12" ht="24" customHeight="1" thickBot="1">
      <c r="A44" s="22" t="s">
        <v>16</v>
      </c>
      <c r="B44" s="195">
        <f>B13+D30</f>
        <v>1649.3620000000001</v>
      </c>
      <c r="C44" s="41">
        <f>1/12</f>
        <v>8.3333333333333329E-2</v>
      </c>
      <c r="D44" s="43">
        <f>1+D40</f>
        <v>1.35</v>
      </c>
      <c r="E44" s="197">
        <f>B44*C44*D44</f>
        <v>185.553225</v>
      </c>
    </row>
    <row r="45" spans="1:12" ht="33.75" customHeight="1" thickBot="1"/>
    <row r="46" spans="1:12" ht="24" customHeight="1" thickBot="1">
      <c r="A46" s="436" t="s">
        <v>31</v>
      </c>
      <c r="B46" s="441"/>
      <c r="C46" s="441"/>
      <c r="D46" s="437"/>
    </row>
    <row r="47" spans="1:12" ht="30.75" customHeight="1" thickBot="1">
      <c r="A47" s="24" t="s">
        <v>11</v>
      </c>
      <c r="B47" s="25" t="s">
        <v>32</v>
      </c>
      <c r="C47" s="44" t="s">
        <v>33</v>
      </c>
      <c r="D47" s="26" t="s">
        <v>20</v>
      </c>
    </row>
    <row r="48" spans="1:12" ht="24" customHeight="1">
      <c r="A48" s="27" t="s">
        <v>34</v>
      </c>
      <c r="B48" s="195">
        <f>E39</f>
        <v>336.7447416666667</v>
      </c>
      <c r="C48" s="195">
        <f>E43</f>
        <v>185.553225</v>
      </c>
      <c r="D48" s="197">
        <f>SUM(B48:C48)</f>
        <v>522.29796666666675</v>
      </c>
    </row>
    <row r="49" spans="1:12" ht="24" customHeight="1" thickBot="1">
      <c r="A49" s="22" t="s">
        <v>35</v>
      </c>
      <c r="B49" s="202">
        <f>E40+(E40*0.3)</f>
        <v>437.76816416666668</v>
      </c>
      <c r="C49" s="202">
        <f>E44</f>
        <v>185.553225</v>
      </c>
      <c r="D49" s="201">
        <f>SUM(B49:C49)</f>
        <v>623.32138916666668</v>
      </c>
      <c r="K49" s="30"/>
      <c r="L49" s="30"/>
    </row>
    <row r="51" spans="1:12" ht="24" customHeight="1">
      <c r="A51" s="450"/>
      <c r="B51" s="451"/>
      <c r="C51" s="451"/>
      <c r="D51" s="451"/>
      <c r="E51" s="30"/>
      <c r="F51" s="30"/>
      <c r="G51" s="302"/>
      <c r="H51" s="302"/>
      <c r="I51" s="30"/>
      <c r="J51" s="356"/>
    </row>
    <row r="53" spans="1:12" ht="24" customHeight="1">
      <c r="A53" s="433" t="s">
        <v>3</v>
      </c>
      <c r="B53" s="433"/>
      <c r="C53" s="433"/>
      <c r="D53" s="433"/>
      <c r="E53" s="433"/>
      <c r="F53" s="433"/>
      <c r="G53" s="433"/>
      <c r="H53" s="433"/>
      <c r="I53" s="433"/>
      <c r="J53" s="433"/>
      <c r="K53" s="433"/>
      <c r="L53" s="433"/>
    </row>
    <row r="54" spans="1:12" ht="42" customHeight="1">
      <c r="A54" s="442" t="s">
        <v>40</v>
      </c>
      <c r="B54" s="442"/>
      <c r="C54" s="442"/>
      <c r="D54" s="442"/>
      <c r="E54" s="442"/>
      <c r="F54" s="442"/>
      <c r="G54" s="442"/>
      <c r="H54" s="442"/>
      <c r="I54" s="442"/>
      <c r="J54" s="442"/>
      <c r="K54" s="442"/>
      <c r="L54" s="442"/>
    </row>
    <row r="55" spans="1:12" ht="30.75" customHeight="1" thickBot="1"/>
    <row r="56" spans="1:12" ht="24" customHeight="1" thickBot="1">
      <c r="A56" s="443" t="s">
        <v>3</v>
      </c>
      <c r="B56" s="444"/>
      <c r="C56" s="444"/>
      <c r="D56" s="444"/>
      <c r="E56" s="444"/>
      <c r="F56" s="444"/>
      <c r="G56" s="444"/>
      <c r="H56" s="444"/>
      <c r="I56" s="444"/>
      <c r="J56" s="444"/>
      <c r="K56" s="445"/>
    </row>
    <row r="57" spans="1:12" ht="48" thickBot="1">
      <c r="A57" s="19" t="s">
        <v>11</v>
      </c>
      <c r="B57" s="33" t="s">
        <v>41</v>
      </c>
      <c r="C57" s="45" t="s">
        <v>42</v>
      </c>
      <c r="D57" s="45" t="s">
        <v>43</v>
      </c>
      <c r="E57" s="33" t="s">
        <v>32</v>
      </c>
      <c r="F57" s="33"/>
      <c r="G57" s="305"/>
      <c r="H57" s="305"/>
      <c r="I57" s="286"/>
      <c r="J57" s="360"/>
      <c r="K57" s="20" t="s">
        <v>44</v>
      </c>
    </row>
    <row r="58" spans="1:12" ht="24" customHeight="1">
      <c r="A58" s="248" t="s">
        <v>45</v>
      </c>
      <c r="B58" s="249">
        <f>B12</f>
        <v>1268.74</v>
      </c>
      <c r="C58" s="249">
        <f>D20</f>
        <v>0</v>
      </c>
      <c r="D58" s="249">
        <f>D28</f>
        <v>380.62200000000001</v>
      </c>
      <c r="E58" s="249"/>
      <c r="F58" s="249"/>
      <c r="G58" s="306"/>
      <c r="H58" s="306"/>
      <c r="I58" s="253"/>
      <c r="J58" s="361"/>
      <c r="K58" s="251">
        <f>SUM(B58:I58)</f>
        <v>1649.3620000000001</v>
      </c>
    </row>
    <row r="59" spans="1:12" ht="24" customHeight="1" thickBot="1">
      <c r="A59" s="36" t="s">
        <v>34</v>
      </c>
      <c r="B59" s="196">
        <f>B12</f>
        <v>1268.74</v>
      </c>
      <c r="C59" s="196">
        <f>D20</f>
        <v>0</v>
      </c>
      <c r="D59" s="196">
        <f>D29</f>
        <v>380.62200000000001</v>
      </c>
      <c r="E59" s="196">
        <f>D48</f>
        <v>522.29796666666675</v>
      </c>
      <c r="F59" s="196"/>
      <c r="G59" s="196"/>
      <c r="H59" s="196"/>
      <c r="I59" s="193"/>
      <c r="J59" s="362"/>
      <c r="K59" s="205">
        <f>SUM(B59:I59)</f>
        <v>2171.6599666666671</v>
      </c>
    </row>
    <row r="60" spans="1:12" ht="24" customHeight="1">
      <c r="A60" s="248" t="s">
        <v>46</v>
      </c>
      <c r="B60" s="249">
        <f>B13</f>
        <v>1268.74</v>
      </c>
      <c r="C60" s="249">
        <f>D21</f>
        <v>380.62200000000001</v>
      </c>
      <c r="D60" s="306">
        <f>D30</f>
        <v>380.62200000000001</v>
      </c>
      <c r="E60" s="249"/>
      <c r="F60" s="249"/>
      <c r="G60" s="306"/>
      <c r="H60" s="306"/>
      <c r="I60" s="253"/>
      <c r="J60" s="361"/>
      <c r="K60" s="251">
        <f>SUM(B60:I60)</f>
        <v>2029.9840000000002</v>
      </c>
    </row>
    <row r="61" spans="1:12" ht="24" customHeight="1" thickBot="1">
      <c r="A61" s="22" t="s">
        <v>47</v>
      </c>
      <c r="B61" s="202">
        <f>B13</f>
        <v>1268.74</v>
      </c>
      <c r="C61" s="202">
        <f>D21</f>
        <v>380.62200000000001</v>
      </c>
      <c r="D61" s="244">
        <f>D31</f>
        <v>380.62200000000001</v>
      </c>
      <c r="E61" s="202">
        <f>D49</f>
        <v>623.32138916666668</v>
      </c>
      <c r="F61" s="202"/>
      <c r="G61" s="202"/>
      <c r="H61" s="202"/>
      <c r="I61" s="194"/>
      <c r="J61" s="363"/>
      <c r="K61" s="201">
        <f>SUM(B61:I61)</f>
        <v>2653.3053891666668</v>
      </c>
    </row>
    <row r="62" spans="1:12" ht="24" customHeight="1">
      <c r="A62" s="130"/>
      <c r="B62" s="275"/>
      <c r="C62" s="275"/>
      <c r="D62" s="275"/>
      <c r="E62" s="275"/>
      <c r="F62" s="275"/>
      <c r="G62" s="275"/>
      <c r="H62" s="275"/>
      <c r="I62" s="275"/>
      <c r="J62" s="275"/>
      <c r="K62" s="276"/>
    </row>
    <row r="64" spans="1:12" ht="24" customHeight="1">
      <c r="A64" s="433" t="s">
        <v>48</v>
      </c>
      <c r="B64" s="433"/>
      <c r="C64" s="433"/>
      <c r="D64" s="433"/>
      <c r="E64" s="433"/>
      <c r="F64" s="433"/>
      <c r="G64" s="433"/>
      <c r="H64" s="433"/>
      <c r="I64" s="433"/>
      <c r="J64" s="433"/>
      <c r="K64" s="433"/>
      <c r="L64" s="433"/>
    </row>
    <row r="65" spans="1:12" ht="24" customHeight="1">
      <c r="A65" s="434" t="s">
        <v>49</v>
      </c>
      <c r="B65" s="435"/>
      <c r="C65" s="435"/>
      <c r="D65" s="435"/>
      <c r="E65" s="435"/>
      <c r="F65" s="435"/>
      <c r="G65" s="435"/>
      <c r="H65" s="435"/>
      <c r="I65" s="435"/>
      <c r="J65" s="435"/>
      <c r="K65" s="435"/>
      <c r="L65" s="435"/>
    </row>
    <row r="66" spans="1:12" ht="16.5" thickBot="1"/>
    <row r="67" spans="1:12" ht="31.5" customHeight="1" thickBot="1">
      <c r="A67" s="446" t="s">
        <v>50</v>
      </c>
      <c r="B67" s="441"/>
      <c r="C67" s="441"/>
      <c r="D67" s="437"/>
      <c r="E67" s="51"/>
    </row>
    <row r="68" spans="1:12" ht="16.5" thickBot="1">
      <c r="A68" s="52" t="s">
        <v>11</v>
      </c>
      <c r="B68" s="53" t="s">
        <v>12</v>
      </c>
      <c r="C68" s="54" t="s">
        <v>51</v>
      </c>
      <c r="D68" s="55" t="s">
        <v>20</v>
      </c>
    </row>
    <row r="69" spans="1:12" ht="24" customHeight="1">
      <c r="A69" s="248" t="s">
        <v>21</v>
      </c>
      <c r="B69" s="249">
        <f>K58</f>
        <v>1649.3620000000001</v>
      </c>
      <c r="C69" s="254">
        <f>1/12</f>
        <v>8.3333333333333329E-2</v>
      </c>
      <c r="D69" s="251">
        <f>B69*C69</f>
        <v>137.44683333333333</v>
      </c>
    </row>
    <row r="70" spans="1:12" ht="24" customHeight="1" thickBot="1">
      <c r="A70" s="36" t="s">
        <v>52</v>
      </c>
      <c r="B70" s="196">
        <f>K59</f>
        <v>2171.6599666666671</v>
      </c>
      <c r="C70" s="56">
        <f>1/12</f>
        <v>8.3333333333333329E-2</v>
      </c>
      <c r="D70" s="205">
        <f>B70*C70</f>
        <v>180.97166388888891</v>
      </c>
    </row>
    <row r="71" spans="1:12" ht="24" customHeight="1">
      <c r="A71" s="248" t="s">
        <v>53</v>
      </c>
      <c r="B71" s="249">
        <f>K60</f>
        <v>2029.9840000000002</v>
      </c>
      <c r="C71" s="254">
        <f>1/12</f>
        <v>8.3333333333333329E-2</v>
      </c>
      <c r="D71" s="251">
        <f>B71*C71</f>
        <v>169.16533333333334</v>
      </c>
    </row>
    <row r="72" spans="1:12" ht="24" customHeight="1" thickBot="1">
      <c r="A72" s="22" t="s">
        <v>54</v>
      </c>
      <c r="B72" s="202">
        <f>K61</f>
        <v>2653.3053891666668</v>
      </c>
      <c r="C72" s="57">
        <f>1/12</f>
        <v>8.3333333333333329E-2</v>
      </c>
      <c r="D72" s="201">
        <f>B72*C72</f>
        <v>221.10878243055555</v>
      </c>
    </row>
    <row r="73" spans="1:12" ht="16.5" thickBot="1"/>
    <row r="74" spans="1:12" ht="36.75" customHeight="1" thickBot="1">
      <c r="A74" s="446" t="s">
        <v>55</v>
      </c>
      <c r="B74" s="441"/>
      <c r="C74" s="441"/>
      <c r="D74" s="437"/>
    </row>
    <row r="75" spans="1:12" ht="30.75" customHeight="1" thickBot="1">
      <c r="A75" s="52" t="s">
        <v>11</v>
      </c>
      <c r="B75" s="53" t="s">
        <v>12</v>
      </c>
      <c r="C75" s="54" t="s">
        <v>51</v>
      </c>
      <c r="D75" s="55" t="s">
        <v>20</v>
      </c>
    </row>
    <row r="76" spans="1:12" ht="24" customHeight="1">
      <c r="A76" s="248" t="s">
        <v>56</v>
      </c>
      <c r="B76" s="249">
        <f>K58</f>
        <v>1649.3620000000001</v>
      </c>
      <c r="C76" s="254">
        <f>1/12</f>
        <v>8.3333333333333329E-2</v>
      </c>
      <c r="D76" s="251">
        <f>B76*C76</f>
        <v>137.44683333333333</v>
      </c>
    </row>
    <row r="77" spans="1:12" ht="24" customHeight="1" thickBot="1">
      <c r="A77" s="36" t="s">
        <v>57</v>
      </c>
      <c r="B77" s="196">
        <f>K59</f>
        <v>2171.6599666666671</v>
      </c>
      <c r="C77" s="56">
        <f>1/12</f>
        <v>8.3333333333333329E-2</v>
      </c>
      <c r="D77" s="198">
        <f>B77*C77</f>
        <v>180.97166388888891</v>
      </c>
    </row>
    <row r="78" spans="1:12" ht="24" customHeight="1">
      <c r="A78" s="248" t="s">
        <v>53</v>
      </c>
      <c r="B78" s="249">
        <f>K60</f>
        <v>2029.9840000000002</v>
      </c>
      <c r="C78" s="254">
        <f>1/12</f>
        <v>8.3333333333333329E-2</v>
      </c>
      <c r="D78" s="251">
        <f>B78*C78</f>
        <v>169.16533333333334</v>
      </c>
    </row>
    <row r="79" spans="1:12" ht="24" customHeight="1" thickBot="1">
      <c r="A79" s="22" t="s">
        <v>47</v>
      </c>
      <c r="B79" s="202">
        <f>K61</f>
        <v>2653.3053891666668</v>
      </c>
      <c r="C79" s="57">
        <f>1/12</f>
        <v>8.3333333333333329E-2</v>
      </c>
      <c r="D79" s="201">
        <f>B79*C79</f>
        <v>221.10878243055555</v>
      </c>
    </row>
    <row r="80" spans="1:12" ht="38.25" customHeight="1" thickBot="1"/>
    <row r="81" spans="1:12" ht="24" customHeight="1" thickBot="1">
      <c r="A81" s="447" t="s">
        <v>58</v>
      </c>
      <c r="B81" s="448"/>
      <c r="C81" s="448"/>
      <c r="D81" s="448"/>
      <c r="E81" s="449"/>
    </row>
    <row r="82" spans="1:12" ht="30" customHeight="1" thickBot="1">
      <c r="A82" s="52" t="s">
        <v>11</v>
      </c>
      <c r="B82" s="53" t="s">
        <v>12</v>
      </c>
      <c r="C82" s="54" t="s">
        <v>59</v>
      </c>
      <c r="D82" s="54" t="s">
        <v>51</v>
      </c>
      <c r="E82" s="55" t="s">
        <v>20</v>
      </c>
    </row>
    <row r="83" spans="1:12" ht="24" customHeight="1" thickBot="1">
      <c r="A83" s="248" t="s">
        <v>21</v>
      </c>
      <c r="B83" s="375">
        <f>K58</f>
        <v>1649.3620000000001</v>
      </c>
      <c r="C83" s="376">
        <v>0.33329999999999999</v>
      </c>
      <c r="D83" s="254">
        <f>1/12</f>
        <v>8.3333333333333329E-2</v>
      </c>
      <c r="E83" s="251">
        <f>B83*C83*D83</f>
        <v>45.811029550000001</v>
      </c>
    </row>
    <row r="84" spans="1:12" ht="24" customHeight="1" thickBot="1">
      <c r="A84" s="36" t="s">
        <v>57</v>
      </c>
      <c r="B84" s="196">
        <f>K59</f>
        <v>2171.6599666666671</v>
      </c>
      <c r="C84" s="287">
        <v>0.33329999999999999</v>
      </c>
      <c r="D84" s="56">
        <f>1/12</f>
        <v>8.3333333333333329E-2</v>
      </c>
      <c r="E84" s="198">
        <f>B84*C84*D84</f>
        <v>60.317855574166671</v>
      </c>
    </row>
    <row r="85" spans="1:12" ht="24" customHeight="1" thickBot="1">
      <c r="A85" s="248" t="s">
        <v>53</v>
      </c>
      <c r="B85" s="249">
        <f>K60</f>
        <v>2029.9840000000002</v>
      </c>
      <c r="C85" s="287">
        <v>0.33329999999999999</v>
      </c>
      <c r="D85" s="254">
        <f>1/12</f>
        <v>8.3333333333333329E-2</v>
      </c>
      <c r="E85" s="251">
        <f>B85*C85*D85</f>
        <v>56.382805599999998</v>
      </c>
    </row>
    <row r="86" spans="1:12" ht="24" customHeight="1" thickBot="1">
      <c r="A86" s="22" t="s">
        <v>47</v>
      </c>
      <c r="B86" s="202">
        <f>K61</f>
        <v>2653.3053891666668</v>
      </c>
      <c r="C86" s="287">
        <v>0.33329999999999999</v>
      </c>
      <c r="D86" s="57">
        <f>1/12</f>
        <v>8.3333333333333329E-2</v>
      </c>
      <c r="E86" s="201">
        <f>B86*C86*D86</f>
        <v>73.69555718410416</v>
      </c>
    </row>
    <row r="87" spans="1:12" ht="24" customHeight="1" thickBot="1"/>
    <row r="88" spans="1:12" ht="24" customHeight="1" thickBot="1">
      <c r="A88" s="443" t="s">
        <v>49</v>
      </c>
      <c r="B88" s="444"/>
      <c r="C88" s="444"/>
      <c r="D88" s="444"/>
      <c r="E88" s="445"/>
    </row>
    <row r="89" spans="1:12" ht="24" customHeight="1" thickBot="1">
      <c r="A89" s="52" t="s">
        <v>11</v>
      </c>
      <c r="B89" s="53" t="s">
        <v>60</v>
      </c>
      <c r="C89" s="53" t="s">
        <v>61</v>
      </c>
      <c r="D89" s="53" t="s">
        <v>62</v>
      </c>
      <c r="E89" s="55" t="s">
        <v>44</v>
      </c>
    </row>
    <row r="90" spans="1:12" ht="24" customHeight="1">
      <c r="A90" s="248" t="s">
        <v>21</v>
      </c>
      <c r="B90" s="249">
        <f>D69</f>
        <v>137.44683333333333</v>
      </c>
      <c r="C90" s="249">
        <f>D76</f>
        <v>137.44683333333333</v>
      </c>
      <c r="D90" s="249">
        <f>E83</f>
        <v>45.811029550000001</v>
      </c>
      <c r="E90" s="251">
        <f>SUM(B90:D90)</f>
        <v>320.70469621666666</v>
      </c>
    </row>
    <row r="91" spans="1:12" ht="24" customHeight="1" thickBot="1">
      <c r="A91" s="36" t="s">
        <v>57</v>
      </c>
      <c r="B91" s="196">
        <f>D70</f>
        <v>180.97166388888891</v>
      </c>
      <c r="C91" s="196">
        <f>D77</f>
        <v>180.97166388888891</v>
      </c>
      <c r="D91" s="196">
        <f>E84</f>
        <v>60.317855574166671</v>
      </c>
      <c r="E91" s="205">
        <f>SUM(B91:D91)</f>
        <v>422.26118335194451</v>
      </c>
    </row>
    <row r="92" spans="1:12" ht="24" customHeight="1">
      <c r="A92" s="248" t="s">
        <v>53</v>
      </c>
      <c r="B92" s="249">
        <f>D71</f>
        <v>169.16533333333334</v>
      </c>
      <c r="C92" s="249">
        <f>D78</f>
        <v>169.16533333333334</v>
      </c>
      <c r="D92" s="249">
        <f>E85</f>
        <v>56.382805599999998</v>
      </c>
      <c r="E92" s="251">
        <f>SUM(B92:D92)</f>
        <v>394.71347226666666</v>
      </c>
    </row>
    <row r="93" spans="1:12" ht="24" customHeight="1" thickBot="1">
      <c r="A93" s="22" t="s">
        <v>47</v>
      </c>
      <c r="B93" s="202">
        <f>D72</f>
        <v>221.10878243055555</v>
      </c>
      <c r="C93" s="202">
        <f>D79</f>
        <v>221.10878243055555</v>
      </c>
      <c r="D93" s="202">
        <f>E86</f>
        <v>73.69555718410416</v>
      </c>
      <c r="E93" s="201">
        <f>SUM(B93:D93)</f>
        <v>515.91312204521523</v>
      </c>
    </row>
    <row r="95" spans="1:12" ht="24" customHeight="1">
      <c r="A95" s="434" t="s">
        <v>63</v>
      </c>
      <c r="B95" s="435"/>
      <c r="C95" s="435"/>
      <c r="D95" s="435"/>
      <c r="E95" s="435"/>
      <c r="F95" s="435"/>
      <c r="G95" s="435"/>
      <c r="H95" s="435"/>
      <c r="I95" s="435"/>
      <c r="J95" s="435"/>
      <c r="K95" s="435"/>
      <c r="L95" s="435"/>
    </row>
    <row r="96" spans="1:12" ht="51.75" customHeight="1">
      <c r="A96" s="432" t="s">
        <v>64</v>
      </c>
      <c r="B96" s="432"/>
      <c r="C96" s="432"/>
      <c r="D96" s="432"/>
      <c r="E96" s="432"/>
      <c r="F96" s="432"/>
      <c r="G96" s="432"/>
      <c r="H96" s="432"/>
      <c r="I96" s="432"/>
      <c r="J96" s="432"/>
      <c r="K96" s="432"/>
      <c r="L96" s="432"/>
    </row>
    <row r="98" spans="1:4" ht="24" customHeight="1" thickBot="1">
      <c r="A98" s="436" t="s">
        <v>65</v>
      </c>
      <c r="B98" s="437"/>
    </row>
    <row r="99" spans="1:4" ht="24" customHeight="1" thickBot="1">
      <c r="A99" s="52" t="s">
        <v>66</v>
      </c>
      <c r="B99" s="55" t="s">
        <v>13</v>
      </c>
    </row>
    <row r="100" spans="1:4" ht="24" customHeight="1">
      <c r="A100" s="27" t="s">
        <v>67</v>
      </c>
      <c r="B100" s="61">
        <v>0.2</v>
      </c>
    </row>
    <row r="101" spans="1:4" ht="24" customHeight="1">
      <c r="A101" s="36" t="s">
        <v>68</v>
      </c>
      <c r="B101" s="62">
        <v>2.5000000000000001E-2</v>
      </c>
    </row>
    <row r="102" spans="1:4" ht="24" customHeight="1">
      <c r="A102" s="36" t="s">
        <v>69</v>
      </c>
      <c r="B102" s="63">
        <v>0.06</v>
      </c>
    </row>
    <row r="103" spans="1:4" ht="24" customHeight="1">
      <c r="A103" s="36" t="s">
        <v>70</v>
      </c>
      <c r="B103" s="62">
        <v>1.4999999999999999E-2</v>
      </c>
    </row>
    <row r="104" spans="1:4" ht="24" customHeight="1">
      <c r="A104" s="36" t="s">
        <v>71</v>
      </c>
      <c r="B104" s="62">
        <v>0.01</v>
      </c>
    </row>
    <row r="105" spans="1:4" ht="24" customHeight="1">
      <c r="A105" s="36" t="s">
        <v>72</v>
      </c>
      <c r="B105" s="62">
        <v>6.0000000000000001E-3</v>
      </c>
    </row>
    <row r="106" spans="1:4" ht="24" customHeight="1">
      <c r="A106" s="36" t="s">
        <v>73</v>
      </c>
      <c r="B106" s="62">
        <v>2E-3</v>
      </c>
    </row>
    <row r="107" spans="1:4" ht="24" customHeight="1" thickBot="1">
      <c r="A107" s="22" t="s">
        <v>74</v>
      </c>
      <c r="B107" s="64">
        <v>0.08</v>
      </c>
    </row>
    <row r="108" spans="1:4" ht="24" customHeight="1" thickBot="1">
      <c r="A108" s="65" t="s">
        <v>75</v>
      </c>
      <c r="B108" s="66">
        <f>SUM(B100:B107)</f>
        <v>0.39800000000000008</v>
      </c>
    </row>
    <row r="110" spans="1:4" ht="24" customHeight="1" thickBot="1">
      <c r="A110" s="436" t="s">
        <v>76</v>
      </c>
      <c r="B110" s="441"/>
      <c r="C110" s="441"/>
      <c r="D110" s="437"/>
    </row>
    <row r="111" spans="1:4" ht="24" customHeight="1" thickBot="1">
      <c r="A111" s="52" t="s">
        <v>11</v>
      </c>
      <c r="B111" s="53" t="s">
        <v>12</v>
      </c>
      <c r="C111" s="53" t="s">
        <v>13</v>
      </c>
      <c r="D111" s="55" t="s">
        <v>20</v>
      </c>
    </row>
    <row r="112" spans="1:4" ht="24" customHeight="1">
      <c r="A112" s="27" t="s">
        <v>21</v>
      </c>
      <c r="B112" s="195">
        <f>K58+E90</f>
        <v>1970.0666962166667</v>
      </c>
      <c r="C112" s="67">
        <f>SUM($B$100:$B$106)</f>
        <v>0.31800000000000006</v>
      </c>
      <c r="D112" s="197">
        <f>B112*C112</f>
        <v>626.48120939690011</v>
      </c>
    </row>
    <row r="113" spans="1:13" ht="24" customHeight="1" thickBot="1">
      <c r="A113" s="36" t="s">
        <v>77</v>
      </c>
      <c r="B113" s="196">
        <f>K59+E91</f>
        <v>2593.9211500186116</v>
      </c>
      <c r="C113" s="68">
        <f>SUM($B$100:$B$106)</f>
        <v>0.31800000000000006</v>
      </c>
      <c r="D113" s="205">
        <f>B113*C113</f>
        <v>824.86692570591867</v>
      </c>
      <c r="E113" s="186"/>
      <c r="F113" s="186"/>
      <c r="G113" s="186"/>
      <c r="H113" s="186"/>
      <c r="I113" s="186"/>
      <c r="J113" s="186"/>
      <c r="K113" s="186"/>
      <c r="L113" s="186"/>
      <c r="M113" s="186"/>
    </row>
    <row r="114" spans="1:13" ht="24" customHeight="1">
      <c r="A114" s="27" t="s">
        <v>53</v>
      </c>
      <c r="B114" s="195">
        <f>K60+E92</f>
        <v>2424.6974722666669</v>
      </c>
      <c r="C114" s="67">
        <f>SUM($B$100:$B$106)</f>
        <v>0.31800000000000006</v>
      </c>
      <c r="D114" s="197">
        <f>B114*C114</f>
        <v>771.05379618080019</v>
      </c>
    </row>
    <row r="115" spans="1:13" ht="24" customHeight="1">
      <c r="A115" s="36" t="s">
        <v>47</v>
      </c>
      <c r="B115" s="196">
        <f>K61+E93</f>
        <v>3169.2185112118823</v>
      </c>
      <c r="C115" s="68">
        <f>SUM($B$100:$B$106)</f>
        <v>0.31800000000000006</v>
      </c>
      <c r="D115" s="198">
        <f>B115*C115</f>
        <v>1007.8114865653788</v>
      </c>
    </row>
    <row r="116" spans="1:13" ht="24" customHeight="1" thickBot="1"/>
    <row r="117" spans="1:13" ht="24" customHeight="1" thickBot="1">
      <c r="A117" s="436" t="s">
        <v>78</v>
      </c>
      <c r="B117" s="441"/>
      <c r="C117" s="441"/>
      <c r="D117" s="437"/>
    </row>
    <row r="118" spans="1:13" ht="24" customHeight="1" thickBot="1">
      <c r="A118" s="52" t="s">
        <v>11</v>
      </c>
      <c r="B118" s="53" t="s">
        <v>12</v>
      </c>
      <c r="C118" s="53" t="s">
        <v>13</v>
      </c>
      <c r="D118" s="55" t="s">
        <v>20</v>
      </c>
    </row>
    <row r="119" spans="1:13" ht="24" customHeight="1">
      <c r="A119" s="248" t="s">
        <v>21</v>
      </c>
      <c r="B119" s="249">
        <f>K58+E90</f>
        <v>1970.0666962166667</v>
      </c>
      <c r="C119" s="254">
        <f>$B$107</f>
        <v>0.08</v>
      </c>
      <c r="D119" s="251">
        <f>B119*C119</f>
        <v>157.60533569733335</v>
      </c>
    </row>
    <row r="120" spans="1:13" ht="24" customHeight="1" thickBot="1">
      <c r="A120" s="36" t="s">
        <v>57</v>
      </c>
      <c r="B120" s="196">
        <f>K59+E91</f>
        <v>2593.9211500186116</v>
      </c>
      <c r="C120" s="56">
        <f>$B$107</f>
        <v>0.08</v>
      </c>
      <c r="D120" s="205">
        <f>B120*C120</f>
        <v>207.51369200148892</v>
      </c>
    </row>
    <row r="121" spans="1:13" ht="24" customHeight="1">
      <c r="A121" s="248" t="s">
        <v>53</v>
      </c>
      <c r="B121" s="249">
        <f>K60+E92</f>
        <v>2424.6974722666669</v>
      </c>
      <c r="C121" s="254">
        <f>$B$107</f>
        <v>0.08</v>
      </c>
      <c r="D121" s="251">
        <f>B121*C121</f>
        <v>193.97579778133334</v>
      </c>
    </row>
    <row r="122" spans="1:13" ht="24" customHeight="1" thickBot="1">
      <c r="A122" s="22" t="s">
        <v>47</v>
      </c>
      <c r="B122" s="202">
        <f>K61+E93</f>
        <v>3169.2185112118823</v>
      </c>
      <c r="C122" s="57">
        <f>$B$107</f>
        <v>0.08</v>
      </c>
      <c r="D122" s="201">
        <f>B122*C122</f>
        <v>253.5374808969506</v>
      </c>
    </row>
    <row r="123" spans="1:13" ht="24" customHeight="1" thickBot="1"/>
    <row r="124" spans="1:13" ht="24" customHeight="1" thickBot="1">
      <c r="A124" s="436" t="s">
        <v>63</v>
      </c>
      <c r="B124" s="441"/>
      <c r="C124" s="441"/>
      <c r="D124" s="437"/>
    </row>
    <row r="125" spans="1:13" ht="24" customHeight="1" thickBot="1">
      <c r="A125" s="52" t="s">
        <v>11</v>
      </c>
      <c r="B125" s="53" t="s">
        <v>79</v>
      </c>
      <c r="C125" s="53" t="s">
        <v>74</v>
      </c>
      <c r="D125" s="55" t="s">
        <v>44</v>
      </c>
    </row>
    <row r="126" spans="1:13" ht="24" customHeight="1">
      <c r="A126" s="248" t="s">
        <v>21</v>
      </c>
      <c r="B126" s="249">
        <f>D112</f>
        <v>626.48120939690011</v>
      </c>
      <c r="C126" s="249">
        <f>D119</f>
        <v>157.60533569733335</v>
      </c>
      <c r="D126" s="251">
        <f>B126+C126</f>
        <v>784.08654509423343</v>
      </c>
    </row>
    <row r="127" spans="1:13" ht="24" customHeight="1" thickBot="1">
      <c r="A127" s="36" t="s">
        <v>57</v>
      </c>
      <c r="B127" s="196">
        <f>D113</f>
        <v>824.86692570591867</v>
      </c>
      <c r="C127" s="196">
        <f>D120</f>
        <v>207.51369200148892</v>
      </c>
      <c r="D127" s="205">
        <f>B127+C127</f>
        <v>1032.3806177074075</v>
      </c>
    </row>
    <row r="128" spans="1:13" ht="24" customHeight="1">
      <c r="A128" s="248" t="s">
        <v>53</v>
      </c>
      <c r="B128" s="249">
        <f>D114</f>
        <v>771.05379618080019</v>
      </c>
      <c r="C128" s="249">
        <f>D121</f>
        <v>193.97579778133334</v>
      </c>
      <c r="D128" s="251">
        <f>B128+C128</f>
        <v>965.0295939621335</v>
      </c>
    </row>
    <row r="129" spans="1:12" ht="24" customHeight="1" thickBot="1">
      <c r="A129" s="22" t="s">
        <v>47</v>
      </c>
      <c r="B129" s="202">
        <f>D115</f>
        <v>1007.8114865653788</v>
      </c>
      <c r="C129" s="202">
        <f>D122</f>
        <v>253.5374808969506</v>
      </c>
      <c r="D129" s="201">
        <f>B129+C129</f>
        <v>1261.3489674623295</v>
      </c>
    </row>
    <row r="131" spans="1:12" ht="24" customHeight="1">
      <c r="A131" s="434" t="s">
        <v>80</v>
      </c>
      <c r="B131" s="435"/>
      <c r="C131" s="435"/>
      <c r="D131" s="435"/>
      <c r="E131" s="435"/>
      <c r="F131" s="435"/>
      <c r="G131" s="435"/>
      <c r="H131" s="435"/>
      <c r="I131" s="435"/>
      <c r="J131" s="435"/>
      <c r="K131" s="435"/>
      <c r="L131" s="435"/>
    </row>
    <row r="132" spans="1:12" ht="72.75" customHeight="1">
      <c r="A132" s="432" t="s">
        <v>81</v>
      </c>
      <c r="B132" s="432"/>
      <c r="C132" s="432"/>
      <c r="D132" s="432"/>
      <c r="E132" s="432"/>
      <c r="F132" s="432"/>
      <c r="G132" s="432"/>
      <c r="H132" s="432"/>
      <c r="I132" s="432"/>
      <c r="J132" s="432"/>
      <c r="K132" s="432"/>
      <c r="L132" s="432"/>
    </row>
    <row r="134" spans="1:12" ht="24" customHeight="1" thickBot="1">
      <c r="A134" s="451" t="s">
        <v>82</v>
      </c>
      <c r="B134" s="451"/>
      <c r="C134" s="451"/>
      <c r="D134" s="451"/>
      <c r="E134" s="451"/>
      <c r="F134" s="451"/>
      <c r="G134" s="451"/>
      <c r="H134" s="451"/>
      <c r="I134" s="451"/>
      <c r="J134" s="356"/>
      <c r="K134" s="30"/>
    </row>
    <row r="135" spans="1:12" ht="24" customHeight="1" thickBot="1">
      <c r="A135" s="443" t="s">
        <v>83</v>
      </c>
      <c r="B135" s="444"/>
      <c r="C135" s="444"/>
      <c r="D135" s="444"/>
      <c r="E135" s="445"/>
    </row>
    <row r="136" spans="1:12" ht="32.25" thickBot="1">
      <c r="A136" s="52" t="s">
        <v>11</v>
      </c>
      <c r="B136" s="53" t="s">
        <v>84</v>
      </c>
      <c r="C136" s="53" t="s">
        <v>85</v>
      </c>
      <c r="D136" s="54" t="s">
        <v>86</v>
      </c>
      <c r="E136" s="55" t="s">
        <v>87</v>
      </c>
    </row>
    <row r="137" spans="1:12" ht="24" customHeight="1">
      <c r="A137" s="248" t="s">
        <v>21</v>
      </c>
      <c r="B137" s="249">
        <v>3.5</v>
      </c>
      <c r="C137" s="255">
        <v>2</v>
      </c>
      <c r="D137" s="255">
        <v>15</v>
      </c>
      <c r="E137" s="251">
        <f>B137*C137*D137</f>
        <v>105</v>
      </c>
    </row>
    <row r="138" spans="1:12" ht="24" customHeight="1" thickBot="1">
      <c r="A138" s="36" t="s">
        <v>88</v>
      </c>
      <c r="B138" s="196">
        <f>B137</f>
        <v>3.5</v>
      </c>
      <c r="C138" s="70">
        <f>C137</f>
        <v>2</v>
      </c>
      <c r="D138" s="70">
        <v>15</v>
      </c>
      <c r="E138" s="198">
        <f>B138*C138*D138</f>
        <v>105</v>
      </c>
    </row>
    <row r="139" spans="1:12" ht="24" customHeight="1">
      <c r="A139" s="248" t="s">
        <v>53</v>
      </c>
      <c r="B139" s="249">
        <f>3.5</f>
        <v>3.5</v>
      </c>
      <c r="C139" s="255">
        <v>2</v>
      </c>
      <c r="D139" s="255">
        <v>15</v>
      </c>
      <c r="E139" s="251">
        <f>B139*C139*D139</f>
        <v>105</v>
      </c>
    </row>
    <row r="140" spans="1:12" ht="24" customHeight="1" thickBot="1">
      <c r="A140" s="22" t="s">
        <v>47</v>
      </c>
      <c r="B140" s="202">
        <f>B139</f>
        <v>3.5</v>
      </c>
      <c r="C140" s="71">
        <f>C139</f>
        <v>2</v>
      </c>
      <c r="D140" s="71">
        <v>15</v>
      </c>
      <c r="E140" s="201">
        <f>B140*C140*D140</f>
        <v>105</v>
      </c>
    </row>
    <row r="141" spans="1:12" ht="24" customHeight="1" thickBot="1"/>
    <row r="142" spans="1:12" ht="24" customHeight="1" thickBot="1">
      <c r="A142" s="443" t="s">
        <v>89</v>
      </c>
      <c r="B142" s="444"/>
      <c r="C142" s="444"/>
      <c r="D142" s="444"/>
      <c r="E142" s="445"/>
    </row>
    <row r="143" spans="1:12" ht="24" customHeight="1" thickBot="1">
      <c r="A143" s="52" t="s">
        <v>11</v>
      </c>
      <c r="B143" s="53" t="s">
        <v>12</v>
      </c>
      <c r="C143" s="53" t="s">
        <v>90</v>
      </c>
      <c r="D143" s="53" t="s">
        <v>13</v>
      </c>
      <c r="E143" s="55" t="s">
        <v>91</v>
      </c>
    </row>
    <row r="144" spans="1:12" ht="24" customHeight="1">
      <c r="A144" s="248" t="s">
        <v>21</v>
      </c>
      <c r="B144" s="249">
        <f>B12</f>
        <v>1268.74</v>
      </c>
      <c r="C144" s="250">
        <v>0.5</v>
      </c>
      <c r="D144" s="250">
        <v>0.06</v>
      </c>
      <c r="E144" s="251">
        <f>B144*C144*D144</f>
        <v>38.062199999999997</v>
      </c>
    </row>
    <row r="145" spans="1:11" ht="24" customHeight="1" thickBot="1">
      <c r="A145" s="36" t="s">
        <v>57</v>
      </c>
      <c r="B145" s="196">
        <f>B12</f>
        <v>1268.74</v>
      </c>
      <c r="C145" s="38">
        <v>0.5</v>
      </c>
      <c r="D145" s="38">
        <v>0.06</v>
      </c>
      <c r="E145" s="198">
        <f>B145*C145*D145</f>
        <v>38.062199999999997</v>
      </c>
    </row>
    <row r="146" spans="1:11" ht="24" customHeight="1">
      <c r="A146" s="248" t="s">
        <v>53</v>
      </c>
      <c r="B146" s="249">
        <f>B13</f>
        <v>1268.74</v>
      </c>
      <c r="C146" s="256">
        <v>0.5</v>
      </c>
      <c r="D146" s="256">
        <v>0.06</v>
      </c>
      <c r="E146" s="251">
        <f>B146*C146*D146</f>
        <v>38.062199999999997</v>
      </c>
    </row>
    <row r="147" spans="1:11" ht="24" customHeight="1" thickBot="1">
      <c r="A147" s="22" t="s">
        <v>47</v>
      </c>
      <c r="B147" s="202">
        <f>B13</f>
        <v>1268.74</v>
      </c>
      <c r="C147" s="40">
        <v>0.5</v>
      </c>
      <c r="D147" s="40">
        <v>0.06</v>
      </c>
      <c r="E147" s="201">
        <f>B147*C147*D147</f>
        <v>38.062199999999997</v>
      </c>
    </row>
    <row r="148" spans="1:11" ht="24" customHeight="1" thickBot="1"/>
    <row r="149" spans="1:11" ht="24" customHeight="1" thickBot="1">
      <c r="A149" s="436" t="s">
        <v>92</v>
      </c>
      <c r="B149" s="441"/>
      <c r="C149" s="441"/>
      <c r="D149" s="437"/>
    </row>
    <row r="150" spans="1:11" ht="24" customHeight="1" thickBot="1">
      <c r="A150" s="52" t="s">
        <v>11</v>
      </c>
      <c r="B150" s="53" t="s">
        <v>87</v>
      </c>
      <c r="C150" s="53" t="s">
        <v>93</v>
      </c>
      <c r="D150" s="55" t="s">
        <v>94</v>
      </c>
    </row>
    <row r="151" spans="1:11" ht="24" customHeight="1">
      <c r="A151" s="248" t="s">
        <v>21</v>
      </c>
      <c r="B151" s="249">
        <f>E137</f>
        <v>105</v>
      </c>
      <c r="C151" s="249">
        <f>E144</f>
        <v>38.062199999999997</v>
      </c>
      <c r="D151" s="251">
        <f>B151-C151</f>
        <v>66.93780000000001</v>
      </c>
    </row>
    <row r="152" spans="1:11" ht="24" customHeight="1" thickBot="1">
      <c r="A152" s="36" t="s">
        <v>57</v>
      </c>
      <c r="B152" s="196">
        <f>E138</f>
        <v>105</v>
      </c>
      <c r="C152" s="196">
        <f>E145</f>
        <v>38.062199999999997</v>
      </c>
      <c r="D152" s="198">
        <f>B152-C152</f>
        <v>66.93780000000001</v>
      </c>
    </row>
    <row r="153" spans="1:11" ht="24" customHeight="1">
      <c r="A153" s="248" t="s">
        <v>46</v>
      </c>
      <c r="B153" s="249">
        <f>E139</f>
        <v>105</v>
      </c>
      <c r="C153" s="249">
        <f>E146</f>
        <v>38.062199999999997</v>
      </c>
      <c r="D153" s="251">
        <f>B153-C153</f>
        <v>66.93780000000001</v>
      </c>
    </row>
    <row r="154" spans="1:11" ht="24" customHeight="1" thickBot="1">
      <c r="A154" s="22" t="s">
        <v>54</v>
      </c>
      <c r="B154" s="202">
        <f>E140</f>
        <v>105</v>
      </c>
      <c r="C154" s="202">
        <f>E147</f>
        <v>38.062199999999997</v>
      </c>
      <c r="D154" s="201">
        <f>B154-C154</f>
        <v>66.93780000000001</v>
      </c>
    </row>
    <row r="156" spans="1:11" ht="24" customHeight="1">
      <c r="A156" s="451" t="s">
        <v>95</v>
      </c>
      <c r="B156" s="451"/>
      <c r="C156" s="451"/>
      <c r="D156" s="451"/>
      <c r="E156" s="451"/>
      <c r="F156" s="451"/>
      <c r="G156" s="451"/>
      <c r="H156" s="451"/>
      <c r="I156" s="451"/>
      <c r="J156" s="356"/>
      <c r="K156" s="30"/>
    </row>
    <row r="157" spans="1:11" ht="31.5" customHeight="1" thickBot="1"/>
    <row r="158" spans="1:11" ht="24" customHeight="1" thickBot="1">
      <c r="A158" s="436" t="s">
        <v>95</v>
      </c>
      <c r="B158" s="441"/>
      <c r="C158" s="441"/>
      <c r="D158" s="437"/>
    </row>
    <row r="159" spans="1:11" ht="27" customHeight="1" thickBot="1">
      <c r="A159" s="24" t="s">
        <v>11</v>
      </c>
      <c r="B159" s="25" t="s">
        <v>96</v>
      </c>
      <c r="C159" s="44" t="s">
        <v>86</v>
      </c>
      <c r="D159" s="26" t="s">
        <v>20</v>
      </c>
    </row>
    <row r="160" spans="1:11" ht="24" customHeight="1">
      <c r="A160" s="27" t="s">
        <v>21</v>
      </c>
      <c r="B160" s="195">
        <v>15</v>
      </c>
      <c r="C160" s="69">
        <f>D137</f>
        <v>15</v>
      </c>
      <c r="D160" s="197">
        <f>B160*C160</f>
        <v>225</v>
      </c>
    </row>
    <row r="161" spans="1:4" ht="24" customHeight="1" thickBot="1">
      <c r="A161" s="36" t="s">
        <v>88</v>
      </c>
      <c r="B161" s="196">
        <f>B160</f>
        <v>15</v>
      </c>
      <c r="C161" s="70">
        <f>D138</f>
        <v>15</v>
      </c>
      <c r="D161" s="198">
        <f>B161*C161</f>
        <v>225</v>
      </c>
    </row>
    <row r="162" spans="1:4" ht="24" customHeight="1">
      <c r="A162" s="27" t="s">
        <v>53</v>
      </c>
      <c r="B162" s="196">
        <f>B161</f>
        <v>15</v>
      </c>
      <c r="C162" s="69">
        <f>D139</f>
        <v>15</v>
      </c>
      <c r="D162" s="197">
        <f>B162*C162</f>
        <v>225</v>
      </c>
    </row>
    <row r="163" spans="1:4" ht="24" customHeight="1">
      <c r="A163" s="36" t="s">
        <v>47</v>
      </c>
      <c r="B163" s="196">
        <f>B162</f>
        <v>15</v>
      </c>
      <c r="C163" s="70">
        <f>D140</f>
        <v>15</v>
      </c>
      <c r="D163" s="198">
        <f>B163*C163</f>
        <v>225</v>
      </c>
    </row>
    <row r="164" spans="1:4" ht="24" customHeight="1" thickBot="1"/>
    <row r="165" spans="1:4" ht="24" customHeight="1" thickBot="1">
      <c r="A165" s="436" t="s">
        <v>97</v>
      </c>
      <c r="B165" s="441"/>
      <c r="C165" s="441"/>
      <c r="D165" s="437"/>
    </row>
    <row r="166" spans="1:4" ht="24" customHeight="1" thickBot="1">
      <c r="A166" s="52" t="s">
        <v>11</v>
      </c>
      <c r="B166" s="53" t="s">
        <v>12</v>
      </c>
      <c r="C166" s="53" t="s">
        <v>13</v>
      </c>
      <c r="D166" s="55" t="s">
        <v>91</v>
      </c>
    </row>
    <row r="167" spans="1:4" ht="24" customHeight="1">
      <c r="A167" s="248" t="s">
        <v>21</v>
      </c>
      <c r="B167" s="249">
        <f>D160</f>
        <v>225</v>
      </c>
      <c r="C167" s="250">
        <v>0.15</v>
      </c>
      <c r="D167" s="251">
        <f>B167*C167</f>
        <v>33.75</v>
      </c>
    </row>
    <row r="168" spans="1:4" ht="24" customHeight="1" thickBot="1">
      <c r="A168" s="22" t="s">
        <v>57</v>
      </c>
      <c r="B168" s="202">
        <f>D161</f>
        <v>225</v>
      </c>
      <c r="C168" s="40">
        <f>C167</f>
        <v>0.15</v>
      </c>
      <c r="D168" s="201">
        <f>B168*C168</f>
        <v>33.75</v>
      </c>
    </row>
    <row r="169" spans="1:4" ht="24" customHeight="1">
      <c r="A169" s="21" t="s">
        <v>53</v>
      </c>
      <c r="B169" s="211">
        <f>D162</f>
        <v>225</v>
      </c>
      <c r="C169" s="257">
        <f>C168</f>
        <v>0.15</v>
      </c>
      <c r="D169" s="200">
        <f>B169*C169</f>
        <v>33.75</v>
      </c>
    </row>
    <row r="170" spans="1:4" ht="24" customHeight="1" thickBot="1">
      <c r="A170" s="22" t="s">
        <v>47</v>
      </c>
      <c r="B170" s="202">
        <f>D163</f>
        <v>225</v>
      </c>
      <c r="C170" s="38">
        <f>C169</f>
        <v>0.15</v>
      </c>
      <c r="D170" s="201">
        <f>B170*C170</f>
        <v>33.75</v>
      </c>
    </row>
    <row r="171" spans="1:4" ht="24" customHeight="1" thickBot="1"/>
    <row r="172" spans="1:4" ht="24" customHeight="1" thickBot="1">
      <c r="A172" s="436" t="s">
        <v>98</v>
      </c>
      <c r="B172" s="441"/>
      <c r="C172" s="441"/>
      <c r="D172" s="437"/>
    </row>
    <row r="173" spans="1:4" ht="24" customHeight="1" thickBot="1">
      <c r="A173" s="52" t="s">
        <v>11</v>
      </c>
      <c r="B173" s="53" t="s">
        <v>87</v>
      </c>
      <c r="C173" s="53" t="s">
        <v>91</v>
      </c>
      <c r="D173" s="55" t="s">
        <v>94</v>
      </c>
    </row>
    <row r="174" spans="1:4" ht="24" customHeight="1">
      <c r="A174" s="248" t="s">
        <v>56</v>
      </c>
      <c r="B174" s="249">
        <f>D160</f>
        <v>225</v>
      </c>
      <c r="C174" s="249">
        <f>D167</f>
        <v>33.75</v>
      </c>
      <c r="D174" s="251">
        <f>B174-C174</f>
        <v>191.25</v>
      </c>
    </row>
    <row r="175" spans="1:4" ht="24" customHeight="1" thickBot="1">
      <c r="A175" s="36" t="s">
        <v>88</v>
      </c>
      <c r="B175" s="196">
        <f>D161</f>
        <v>225</v>
      </c>
      <c r="C175" s="196">
        <f>D168</f>
        <v>33.75</v>
      </c>
      <c r="D175" s="198">
        <f>B175-C175</f>
        <v>191.25</v>
      </c>
    </row>
    <row r="176" spans="1:4" ht="24" customHeight="1">
      <c r="A176" s="248" t="s">
        <v>46</v>
      </c>
      <c r="B176" s="249">
        <f>D162</f>
        <v>225</v>
      </c>
      <c r="C176" s="249">
        <f>D169</f>
        <v>33.75</v>
      </c>
      <c r="D176" s="251">
        <f>B176-C176</f>
        <v>191.25</v>
      </c>
    </row>
    <row r="177" spans="1:12" ht="24" customHeight="1" thickBot="1">
      <c r="A177" s="22" t="s">
        <v>47</v>
      </c>
      <c r="B177" s="202">
        <f>D163</f>
        <v>225</v>
      </c>
      <c r="C177" s="202">
        <f>D170</f>
        <v>33.75</v>
      </c>
      <c r="D177" s="201">
        <f>B177-C177</f>
        <v>191.25</v>
      </c>
    </row>
    <row r="178" spans="1:12" ht="24" customHeight="1">
      <c r="A178" s="130"/>
      <c r="B178" s="275"/>
      <c r="C178" s="275"/>
      <c r="D178" s="276"/>
    </row>
    <row r="179" spans="1:12" ht="24" customHeight="1">
      <c r="A179" s="130"/>
      <c r="B179" s="275"/>
      <c r="C179" s="275"/>
      <c r="D179" s="276"/>
    </row>
    <row r="180" spans="1:12" ht="24" customHeight="1" thickBot="1">
      <c r="A180" s="17" t="s">
        <v>358</v>
      </c>
    </row>
    <row r="181" spans="1:12" ht="24" customHeight="1" thickBot="1">
      <c r="A181" s="436" t="s">
        <v>99</v>
      </c>
      <c r="B181" s="441"/>
      <c r="C181" s="441"/>
      <c r="D181" s="437"/>
    </row>
    <row r="182" spans="1:12" ht="24" customHeight="1" thickBot="1">
      <c r="A182" s="52" t="s">
        <v>11</v>
      </c>
      <c r="B182" s="53" t="s">
        <v>100</v>
      </c>
      <c r="C182" s="53" t="s">
        <v>101</v>
      </c>
      <c r="D182" s="55" t="s">
        <v>94</v>
      </c>
    </row>
    <row r="183" spans="1:12" ht="24" customHeight="1" thickBot="1">
      <c r="A183" s="248" t="s">
        <v>56</v>
      </c>
      <c r="B183" s="258" t="s">
        <v>102</v>
      </c>
      <c r="C183" s="258" t="s">
        <v>103</v>
      </c>
      <c r="D183" s="251">
        <v>165.27</v>
      </c>
    </row>
    <row r="184" spans="1:12" ht="24" customHeight="1" thickBot="1">
      <c r="A184" s="22" t="s">
        <v>88</v>
      </c>
      <c r="B184" s="259" t="s">
        <v>102</v>
      </c>
      <c r="C184" s="259" t="s">
        <v>103</v>
      </c>
      <c r="D184" s="242">
        <v>165.27</v>
      </c>
    </row>
    <row r="185" spans="1:12" ht="24" customHeight="1" thickBot="1">
      <c r="A185" s="248" t="s">
        <v>53</v>
      </c>
      <c r="B185" s="258" t="s">
        <v>102</v>
      </c>
      <c r="C185" s="258" t="s">
        <v>103</v>
      </c>
      <c r="D185" s="251">
        <v>165.27</v>
      </c>
    </row>
    <row r="186" spans="1:12" ht="24" customHeight="1" thickBot="1">
      <c r="A186" s="22" t="s">
        <v>54</v>
      </c>
      <c r="B186" s="259" t="s">
        <v>102</v>
      </c>
      <c r="C186" s="259" t="s">
        <v>103</v>
      </c>
      <c r="D186" s="242">
        <v>165.27</v>
      </c>
      <c r="E186" s="186"/>
    </row>
    <row r="188" spans="1:12" ht="46.5" customHeight="1">
      <c r="A188" s="452" t="s">
        <v>104</v>
      </c>
      <c r="B188" s="452"/>
      <c r="C188" s="452"/>
      <c r="D188" s="452"/>
      <c r="E188" s="452"/>
      <c r="F188" s="452"/>
      <c r="G188" s="452"/>
      <c r="H188" s="452"/>
      <c r="I188" s="452"/>
      <c r="J188" s="452"/>
      <c r="K188" s="452"/>
      <c r="L188" s="452"/>
    </row>
    <row r="189" spans="1:12" ht="24" customHeight="1" thickBot="1">
      <c r="A189" s="17" t="s">
        <v>359</v>
      </c>
    </row>
    <row r="190" spans="1:12" ht="24" customHeight="1" thickBot="1">
      <c r="A190" s="436" t="s">
        <v>105</v>
      </c>
      <c r="B190" s="441"/>
      <c r="C190" s="441"/>
      <c r="D190" s="437"/>
    </row>
    <row r="191" spans="1:12" ht="24" customHeight="1" thickBot="1">
      <c r="A191" s="52" t="s">
        <v>11</v>
      </c>
      <c r="B191" s="53" t="s">
        <v>100</v>
      </c>
      <c r="C191" s="53" t="s">
        <v>101</v>
      </c>
      <c r="D191" s="55" t="s">
        <v>94</v>
      </c>
    </row>
    <row r="192" spans="1:12" ht="24" customHeight="1">
      <c r="A192" s="248" t="s">
        <v>21</v>
      </c>
      <c r="B192" s="258"/>
      <c r="C192" s="258" t="s">
        <v>106</v>
      </c>
      <c r="D192" s="251">
        <v>5.54</v>
      </c>
    </row>
    <row r="193" spans="1:12" ht="24" customHeight="1" thickBot="1">
      <c r="A193" s="36" t="s">
        <v>57</v>
      </c>
      <c r="B193" s="37"/>
      <c r="C193" s="37" t="s">
        <v>106</v>
      </c>
      <c r="D193" s="198">
        <v>5.54</v>
      </c>
    </row>
    <row r="194" spans="1:12" ht="24" customHeight="1">
      <c r="A194" s="248" t="s">
        <v>53</v>
      </c>
      <c r="B194" s="258"/>
      <c r="C194" s="258" t="s">
        <v>106</v>
      </c>
      <c r="D194" s="251">
        <v>5.54</v>
      </c>
    </row>
    <row r="195" spans="1:12" ht="24" customHeight="1" thickBot="1">
      <c r="A195" s="22" t="s">
        <v>47</v>
      </c>
      <c r="B195" s="31"/>
      <c r="C195" s="31" t="s">
        <v>106</v>
      </c>
      <c r="D195" s="201">
        <v>5.54</v>
      </c>
    </row>
    <row r="196" spans="1:12" ht="24" customHeight="1">
      <c r="B196" s="73"/>
      <c r="C196" s="73"/>
      <c r="D196" s="74"/>
      <c r="L196" s="12"/>
    </row>
    <row r="197" spans="1:12" ht="24" customHeight="1" thickBot="1">
      <c r="B197" s="73"/>
      <c r="C197" s="73"/>
      <c r="D197" s="74"/>
      <c r="L197" s="12"/>
    </row>
    <row r="198" spans="1:12" ht="24" customHeight="1" thickBot="1">
      <c r="A198" s="443" t="s">
        <v>107</v>
      </c>
      <c r="B198" s="444"/>
      <c r="C198" s="444"/>
      <c r="D198" s="445"/>
      <c r="L198" s="12"/>
    </row>
    <row r="199" spans="1:12" ht="24" customHeight="1" thickBot="1">
      <c r="A199" s="52" t="s">
        <v>11</v>
      </c>
      <c r="B199" s="53"/>
      <c r="C199" s="53"/>
      <c r="D199" s="55"/>
      <c r="L199" s="12"/>
    </row>
    <row r="200" spans="1:12" ht="24" customHeight="1" thickBot="1">
      <c r="A200" s="248" t="s">
        <v>21</v>
      </c>
      <c r="B200" s="258"/>
      <c r="C200" s="258" t="s">
        <v>108</v>
      </c>
      <c r="D200" s="268">
        <v>9.7200000000000006</v>
      </c>
      <c r="L200" s="12"/>
    </row>
    <row r="201" spans="1:12" ht="24" customHeight="1" thickBot="1">
      <c r="A201" s="36" t="s">
        <v>88</v>
      </c>
      <c r="B201" s="37"/>
      <c r="C201" s="37" t="s">
        <v>108</v>
      </c>
      <c r="D201" s="268">
        <v>9.7200000000000006</v>
      </c>
      <c r="L201" s="12"/>
    </row>
    <row r="202" spans="1:12" ht="24" customHeight="1" thickBot="1">
      <c r="A202" s="248" t="s">
        <v>53</v>
      </c>
      <c r="B202" s="258"/>
      <c r="C202" s="258" t="s">
        <v>108</v>
      </c>
      <c r="D202" s="268">
        <v>9.7200000000000006</v>
      </c>
      <c r="L202" s="12"/>
    </row>
    <row r="203" spans="1:12" ht="24" customHeight="1" thickBot="1">
      <c r="A203" s="22" t="s">
        <v>47</v>
      </c>
      <c r="B203" s="31"/>
      <c r="C203" s="31" t="s">
        <v>108</v>
      </c>
      <c r="D203" s="268">
        <v>9.7200000000000006</v>
      </c>
      <c r="L203" s="12"/>
    </row>
    <row r="204" spans="1:12" ht="24" customHeight="1" thickBot="1">
      <c r="B204" s="73"/>
      <c r="C204" s="73"/>
      <c r="D204" s="74"/>
      <c r="L204" s="12"/>
    </row>
    <row r="205" spans="1:12" ht="24" customHeight="1">
      <c r="A205" s="454" t="s">
        <v>357</v>
      </c>
      <c r="B205" s="455"/>
      <c r="C205" s="455"/>
      <c r="D205" s="456"/>
      <c r="L205" s="12"/>
    </row>
    <row r="206" spans="1:12" ht="24" customHeight="1">
      <c r="A206" s="311" t="s">
        <v>11</v>
      </c>
      <c r="B206" s="310" t="s">
        <v>12</v>
      </c>
      <c r="C206" s="310" t="s">
        <v>13</v>
      </c>
      <c r="D206" s="312" t="s">
        <v>20</v>
      </c>
      <c r="E206" s="74"/>
      <c r="L206" s="12"/>
    </row>
    <row r="207" spans="1:12" ht="24" customHeight="1" thickBot="1">
      <c r="A207" s="288" t="s">
        <v>36</v>
      </c>
      <c r="B207" s="289">
        <v>1268.74</v>
      </c>
      <c r="C207" s="290">
        <v>0.14030000000000001</v>
      </c>
      <c r="D207" s="291">
        <f>B207*C207</f>
        <v>178.004222</v>
      </c>
      <c r="L207" s="12"/>
    </row>
    <row r="208" spans="1:12" ht="24" customHeight="1" thickBot="1">
      <c r="A208" s="292" t="s">
        <v>37</v>
      </c>
      <c r="B208" s="293">
        <v>1268.74</v>
      </c>
      <c r="C208" s="294">
        <v>0.14030000000000001</v>
      </c>
      <c r="D208" s="295">
        <f>B208*C208</f>
        <v>178.004222</v>
      </c>
      <c r="L208" s="12"/>
    </row>
    <row r="209" spans="1:12" ht="24" customHeight="1" thickBot="1">
      <c r="A209" s="296" t="s">
        <v>38</v>
      </c>
      <c r="B209" s="293">
        <v>1268.74</v>
      </c>
      <c r="C209" s="294">
        <v>0.14030000000000001</v>
      </c>
      <c r="D209" s="295">
        <f>B209*C209</f>
        <v>178.004222</v>
      </c>
      <c r="L209" s="12"/>
    </row>
    <row r="210" spans="1:12" ht="24" customHeight="1" thickBot="1">
      <c r="A210" s="297" t="s">
        <v>39</v>
      </c>
      <c r="B210" s="298">
        <v>1268.74</v>
      </c>
      <c r="C210" s="299">
        <v>0.14030000000000001</v>
      </c>
      <c r="D210" s="300">
        <f>B210*C210</f>
        <v>178.004222</v>
      </c>
      <c r="L210" s="12"/>
    </row>
    <row r="211" spans="1:12" ht="24" customHeight="1">
      <c r="B211" s="73"/>
      <c r="C211" s="73"/>
      <c r="D211" s="74"/>
      <c r="L211" s="12"/>
    </row>
    <row r="212" spans="1:12" ht="24" customHeight="1">
      <c r="A212" s="457" t="s">
        <v>364</v>
      </c>
      <c r="B212" s="457"/>
      <c r="C212" s="313"/>
      <c r="D212" s="74"/>
      <c r="L212" s="12"/>
    </row>
    <row r="213" spans="1:12" ht="24" customHeight="1">
      <c r="A213" s="310" t="s">
        <v>363</v>
      </c>
      <c r="B213" s="310" t="s">
        <v>20</v>
      </c>
      <c r="C213" s="313"/>
      <c r="D213" s="74"/>
      <c r="L213" s="12"/>
    </row>
    <row r="214" spans="1:12" ht="24" customHeight="1">
      <c r="A214" s="301" t="s">
        <v>57</v>
      </c>
      <c r="B214" s="315">
        <v>47.05</v>
      </c>
      <c r="C214" s="313"/>
      <c r="D214" s="74"/>
      <c r="L214" s="12"/>
    </row>
    <row r="215" spans="1:12" ht="24" customHeight="1" thickBot="1">
      <c r="A215" s="316" t="s">
        <v>47</v>
      </c>
      <c r="B215" s="317">
        <v>47.05</v>
      </c>
      <c r="C215" s="313"/>
      <c r="D215" s="74"/>
      <c r="L215" s="12"/>
    </row>
    <row r="216" spans="1:12" ht="24" customHeight="1" thickBot="1">
      <c r="C216" s="314"/>
    </row>
    <row r="217" spans="1:12" ht="24" customHeight="1" thickBot="1">
      <c r="A217" s="443" t="s">
        <v>80</v>
      </c>
      <c r="B217" s="444"/>
      <c r="C217" s="453"/>
      <c r="D217" s="444"/>
      <c r="E217" s="444"/>
      <c r="F217" s="444"/>
      <c r="G217" s="444"/>
      <c r="H217" s="444"/>
      <c r="I217" s="445"/>
      <c r="J217" s="358"/>
      <c r="K217" s="12"/>
    </row>
    <row r="218" spans="1:12" ht="24" customHeight="1" thickBot="1">
      <c r="A218" s="52" t="s">
        <v>11</v>
      </c>
      <c r="B218" s="53" t="s">
        <v>109</v>
      </c>
      <c r="C218" s="53" t="s">
        <v>110</v>
      </c>
      <c r="D218" s="53" t="s">
        <v>111</v>
      </c>
      <c r="E218" s="53" t="s">
        <v>112</v>
      </c>
      <c r="F218" s="75" t="s">
        <v>113</v>
      </c>
      <c r="G218" s="75" t="s">
        <v>365</v>
      </c>
      <c r="H218" s="75" t="s">
        <v>366</v>
      </c>
      <c r="I218" s="55" t="s">
        <v>44</v>
      </c>
      <c r="J218" s="358"/>
    </row>
    <row r="219" spans="1:12" ht="24" customHeight="1">
      <c r="A219" s="248" t="s">
        <v>56</v>
      </c>
      <c r="B219" s="249">
        <f>D151</f>
        <v>66.93780000000001</v>
      </c>
      <c r="C219" s="249">
        <f>D174</f>
        <v>191.25</v>
      </c>
      <c r="D219" s="249">
        <f>D183</f>
        <v>165.27</v>
      </c>
      <c r="E219" s="249">
        <f>D192</f>
        <v>5.54</v>
      </c>
      <c r="F219" s="260">
        <f>D200</f>
        <v>9.7200000000000006</v>
      </c>
      <c r="G219" s="260">
        <f>D207</f>
        <v>178.004222</v>
      </c>
      <c r="H219" s="260">
        <v>0</v>
      </c>
      <c r="I219" s="251">
        <f>SUM(B219:G219)</f>
        <v>616.72202200000004</v>
      </c>
      <c r="J219" s="276"/>
    </row>
    <row r="220" spans="1:12" ht="24" customHeight="1" thickBot="1">
      <c r="A220" s="36" t="s">
        <v>57</v>
      </c>
      <c r="B220" s="196">
        <f>D152</f>
        <v>66.93780000000001</v>
      </c>
      <c r="C220" s="196">
        <f>D175</f>
        <v>191.25</v>
      </c>
      <c r="D220" s="196">
        <f>D184</f>
        <v>165.27</v>
      </c>
      <c r="E220" s="196">
        <f>D193</f>
        <v>5.54</v>
      </c>
      <c r="F220" s="208">
        <f>D201</f>
        <v>9.7200000000000006</v>
      </c>
      <c r="G220" s="208">
        <f>D208</f>
        <v>178.004222</v>
      </c>
      <c r="H220" s="208">
        <f>B214</f>
        <v>47.05</v>
      </c>
      <c r="I220" s="198">
        <f>SUM(B220:H220)</f>
        <v>663.77202199999999</v>
      </c>
      <c r="J220" s="276"/>
    </row>
    <row r="221" spans="1:12" ht="24" customHeight="1">
      <c r="A221" s="248" t="s">
        <v>53</v>
      </c>
      <c r="B221" s="249">
        <f>D153</f>
        <v>66.93780000000001</v>
      </c>
      <c r="C221" s="249">
        <f>D176</f>
        <v>191.25</v>
      </c>
      <c r="D221" s="249">
        <f>D185</f>
        <v>165.27</v>
      </c>
      <c r="E221" s="249">
        <f>D194</f>
        <v>5.54</v>
      </c>
      <c r="F221" s="260">
        <f>D202</f>
        <v>9.7200000000000006</v>
      </c>
      <c r="G221" s="260">
        <f>D209</f>
        <v>178.004222</v>
      </c>
      <c r="H221" s="260">
        <v>0</v>
      </c>
      <c r="I221" s="251">
        <f>SUM(B221:H221)</f>
        <v>616.72202200000004</v>
      </c>
      <c r="J221" s="276"/>
    </row>
    <row r="222" spans="1:12" ht="24" customHeight="1" thickBot="1">
      <c r="A222" s="22" t="s">
        <v>47</v>
      </c>
      <c r="B222" s="202">
        <f>D154</f>
        <v>66.93780000000001</v>
      </c>
      <c r="C222" s="202">
        <f>D177</f>
        <v>191.25</v>
      </c>
      <c r="D222" s="202">
        <f>D186</f>
        <v>165.27</v>
      </c>
      <c r="E222" s="202">
        <f>D195</f>
        <v>5.54</v>
      </c>
      <c r="F222" s="210">
        <f>D203</f>
        <v>9.7200000000000006</v>
      </c>
      <c r="G222" s="210">
        <f>D210</f>
        <v>178.004222</v>
      </c>
      <c r="H222" s="210">
        <f>B215</f>
        <v>47.05</v>
      </c>
      <c r="I222" s="201">
        <f>SUM(B222:H222)</f>
        <v>663.77202199999999</v>
      </c>
      <c r="J222" s="276"/>
    </row>
    <row r="224" spans="1:12" ht="24" customHeight="1">
      <c r="A224" s="433" t="s">
        <v>48</v>
      </c>
      <c r="B224" s="433"/>
      <c r="C224" s="433"/>
      <c r="D224" s="433"/>
      <c r="E224" s="433"/>
      <c r="F224" s="433"/>
      <c r="G224" s="433"/>
      <c r="H224" s="433"/>
      <c r="I224" s="433"/>
      <c r="J224" s="433"/>
      <c r="K224" s="433"/>
      <c r="L224" s="433"/>
    </row>
    <row r="225" spans="1:12" ht="24" customHeight="1" thickBot="1"/>
    <row r="226" spans="1:12" ht="24" customHeight="1" thickBot="1">
      <c r="A226" s="443" t="s">
        <v>48</v>
      </c>
      <c r="B226" s="444"/>
      <c r="C226" s="444"/>
      <c r="D226" s="444"/>
      <c r="E226" s="445"/>
    </row>
    <row r="227" spans="1:12" ht="24" customHeight="1" thickBot="1">
      <c r="A227" s="52" t="s">
        <v>11</v>
      </c>
      <c r="B227" s="53" t="s">
        <v>114</v>
      </c>
      <c r="C227" s="53" t="s">
        <v>115</v>
      </c>
      <c r="D227" s="53" t="s">
        <v>116</v>
      </c>
      <c r="E227" s="55" t="s">
        <v>44</v>
      </c>
    </row>
    <row r="228" spans="1:12" ht="24" customHeight="1">
      <c r="A228" s="248" t="s">
        <v>56</v>
      </c>
      <c r="B228" s="249">
        <f>E90</f>
        <v>320.70469621666666</v>
      </c>
      <c r="C228" s="249">
        <f>D126</f>
        <v>784.08654509423343</v>
      </c>
      <c r="D228" s="249">
        <f>I219</f>
        <v>616.72202200000004</v>
      </c>
      <c r="E228" s="251">
        <f>SUM(B228:D228)</f>
        <v>1721.5132633109001</v>
      </c>
    </row>
    <row r="229" spans="1:12" ht="24" customHeight="1" thickBot="1">
      <c r="A229" s="22" t="s">
        <v>57</v>
      </c>
      <c r="B229" s="202">
        <f>E91</f>
        <v>422.26118335194451</v>
      </c>
      <c r="C229" s="202">
        <f>D127</f>
        <v>1032.3806177074075</v>
      </c>
      <c r="D229" s="202">
        <f>I220</f>
        <v>663.77202199999999</v>
      </c>
      <c r="E229" s="261">
        <f>SUM(B229:D229)</f>
        <v>2118.4138230593521</v>
      </c>
    </row>
    <row r="230" spans="1:12" ht="24" customHeight="1">
      <c r="A230" s="21" t="s">
        <v>117</v>
      </c>
      <c r="B230" s="211">
        <f>E92</f>
        <v>394.71347226666666</v>
      </c>
      <c r="C230" s="211">
        <f>D128</f>
        <v>965.0295939621335</v>
      </c>
      <c r="D230" s="211">
        <f>I221</f>
        <v>616.72202200000004</v>
      </c>
      <c r="E230" s="200">
        <f>SUM(B230:D230)</f>
        <v>1976.4650882288001</v>
      </c>
    </row>
    <row r="231" spans="1:12" ht="24" customHeight="1" thickBot="1">
      <c r="A231" s="22" t="s">
        <v>35</v>
      </c>
      <c r="B231" s="202">
        <f>E93</f>
        <v>515.91312204521523</v>
      </c>
      <c r="C231" s="202">
        <f>D129</f>
        <v>1261.3489674623295</v>
      </c>
      <c r="D231" s="202">
        <f>I222</f>
        <v>663.77202199999999</v>
      </c>
      <c r="E231" s="201">
        <f>SUM(B231:D231)</f>
        <v>2441.0341115075448</v>
      </c>
    </row>
    <row r="232" spans="1:12" ht="24" customHeight="1">
      <c r="A232" s="130"/>
      <c r="B232" s="275"/>
      <c r="C232" s="275"/>
      <c r="D232" s="275"/>
      <c r="E232" s="276"/>
    </row>
    <row r="233" spans="1:12" ht="24" customHeight="1">
      <c r="A233" s="130"/>
      <c r="B233" s="275"/>
      <c r="C233" s="275"/>
      <c r="D233" s="275"/>
      <c r="E233" s="276"/>
    </row>
    <row r="234" spans="1:12" ht="24" customHeight="1">
      <c r="A234" s="130"/>
      <c r="B234" s="275"/>
      <c r="C234" s="275"/>
      <c r="D234" s="275"/>
      <c r="E234" s="276"/>
    </row>
    <row r="236" spans="1:12" ht="24" customHeight="1">
      <c r="A236" s="433" t="s">
        <v>118</v>
      </c>
      <c r="B236" s="433"/>
      <c r="C236" s="433"/>
      <c r="D236" s="433"/>
      <c r="E236" s="433"/>
      <c r="F236" s="433"/>
      <c r="G236" s="433"/>
      <c r="H236" s="433"/>
      <c r="I236" s="433"/>
      <c r="J236" s="433"/>
      <c r="K236" s="433"/>
      <c r="L236" s="433"/>
    </row>
    <row r="237" spans="1:12" ht="53.25" customHeight="1">
      <c r="A237" s="432" t="s">
        <v>119</v>
      </c>
      <c r="B237" s="432"/>
      <c r="C237" s="432"/>
      <c r="D237" s="432"/>
      <c r="E237" s="432"/>
      <c r="F237" s="432"/>
      <c r="G237" s="432"/>
      <c r="H237" s="432"/>
      <c r="I237" s="432"/>
      <c r="J237" s="432"/>
      <c r="K237" s="432"/>
      <c r="L237" s="432"/>
    </row>
    <row r="238" spans="1:12" ht="24" customHeight="1" thickBot="1"/>
    <row r="239" spans="1:12" ht="16.5" thickBot="1">
      <c r="A239" s="458" t="s">
        <v>120</v>
      </c>
      <c r="B239" s="459"/>
    </row>
    <row r="240" spans="1:12" ht="16.5" thickBot="1">
      <c r="A240" s="19" t="s">
        <v>121</v>
      </c>
      <c r="B240" s="20" t="s">
        <v>13</v>
      </c>
    </row>
    <row r="241" spans="1:12" ht="31.5">
      <c r="A241" s="78" t="s">
        <v>122</v>
      </c>
      <c r="B241" s="79">
        <v>0.65620000000000001</v>
      </c>
    </row>
    <row r="242" spans="1:12" ht="31.5">
      <c r="A242" s="80" t="s">
        <v>123</v>
      </c>
      <c r="B242" s="81">
        <f>B241*45%</f>
        <v>0.29529</v>
      </c>
    </row>
    <row r="243" spans="1:12" ht="31.5">
      <c r="A243" s="80" t="s">
        <v>124</v>
      </c>
      <c r="B243" s="81">
        <f>B241*55%</f>
        <v>0.36091000000000001</v>
      </c>
    </row>
    <row r="244" spans="1:12" ht="32.25" customHeight="1">
      <c r="A244" s="82" t="s">
        <v>125</v>
      </c>
      <c r="B244" s="83">
        <v>4.5100000000000001E-2</v>
      </c>
    </row>
    <row r="245" spans="1:12" ht="30" customHeight="1" thickBot="1">
      <c r="A245" s="84" t="s">
        <v>126</v>
      </c>
      <c r="B245" s="85">
        <v>0.29870000000000002</v>
      </c>
    </row>
    <row r="246" spans="1:12" ht="24" customHeight="1" thickBot="1">
      <c r="A246" s="19" t="s">
        <v>75</v>
      </c>
      <c r="B246" s="86">
        <f>SUM(B242:B245)</f>
        <v>1</v>
      </c>
      <c r="L246" s="30"/>
    </row>
    <row r="248" spans="1:12" ht="24" customHeight="1">
      <c r="A248" s="434" t="s">
        <v>127</v>
      </c>
      <c r="B248" s="435"/>
      <c r="C248" s="435"/>
      <c r="D248" s="435"/>
      <c r="E248" s="435"/>
      <c r="F248" s="435"/>
      <c r="G248" s="435"/>
      <c r="H248" s="435"/>
      <c r="I248" s="435"/>
      <c r="J248" s="435"/>
      <c r="K248" s="435"/>
      <c r="L248" s="435"/>
    </row>
    <row r="249" spans="1:12" ht="106.5" customHeight="1">
      <c r="A249" s="432" t="s">
        <v>128</v>
      </c>
      <c r="B249" s="432"/>
      <c r="C249" s="432"/>
      <c r="D249" s="432"/>
      <c r="E249" s="432"/>
      <c r="F249" s="432"/>
      <c r="G249" s="432"/>
      <c r="H249" s="432"/>
      <c r="I249" s="432"/>
      <c r="J249" s="432"/>
      <c r="K249" s="432"/>
      <c r="L249" s="432"/>
    </row>
    <row r="250" spans="1:12" ht="16.5" thickBot="1"/>
    <row r="251" spans="1:12" ht="24" customHeight="1" thickBot="1">
      <c r="A251" s="436" t="s">
        <v>129</v>
      </c>
      <c r="B251" s="441"/>
      <c r="C251" s="441"/>
      <c r="D251" s="437"/>
    </row>
    <row r="252" spans="1:12" ht="30" customHeight="1" thickBot="1">
      <c r="A252" s="52" t="s">
        <v>11</v>
      </c>
      <c r="B252" s="53" t="s">
        <v>12</v>
      </c>
      <c r="C252" s="54" t="s">
        <v>51</v>
      </c>
      <c r="D252" s="55" t="s">
        <v>20</v>
      </c>
    </row>
    <row r="253" spans="1:12" ht="24" customHeight="1">
      <c r="A253" s="248" t="s">
        <v>130</v>
      </c>
      <c r="B253" s="249">
        <f>K58+(E228-D112)</f>
        <v>2744.3940539140003</v>
      </c>
      <c r="C253" s="262">
        <v>12</v>
      </c>
      <c r="D253" s="251">
        <f>B253/C253</f>
        <v>228.69950449283337</v>
      </c>
    </row>
    <row r="254" spans="1:12" ht="24" customHeight="1" thickBot="1">
      <c r="A254" s="36" t="s">
        <v>57</v>
      </c>
      <c r="B254" s="196">
        <f>K59+(E229-D113)</f>
        <v>3465.2068640201005</v>
      </c>
      <c r="C254" s="87">
        <f>C253</f>
        <v>12</v>
      </c>
      <c r="D254" s="205">
        <f>B254/C254</f>
        <v>288.76723866834169</v>
      </c>
    </row>
    <row r="255" spans="1:12" ht="24" customHeight="1">
      <c r="A255" s="248" t="s">
        <v>117</v>
      </c>
      <c r="B255" s="249">
        <f>K60+(E230-D114)</f>
        <v>3235.3952920480001</v>
      </c>
      <c r="C255" s="87">
        <f>C254</f>
        <v>12</v>
      </c>
      <c r="D255" s="251">
        <f>B255/C255</f>
        <v>269.61627433733332</v>
      </c>
    </row>
    <row r="256" spans="1:12" ht="24" customHeight="1" thickBot="1">
      <c r="A256" s="22" t="s">
        <v>35</v>
      </c>
      <c r="B256" s="202">
        <f>K61+(E231-D115)</f>
        <v>4086.5280141088328</v>
      </c>
      <c r="C256" s="87">
        <f>C255</f>
        <v>12</v>
      </c>
      <c r="D256" s="201">
        <f>B256/C256</f>
        <v>340.54400117573607</v>
      </c>
    </row>
    <row r="257" spans="1:12" ht="16.5" thickBot="1"/>
    <row r="258" spans="1:12" ht="25.5" customHeight="1" thickBot="1">
      <c r="A258" s="460" t="s">
        <v>131</v>
      </c>
      <c r="B258" s="461"/>
      <c r="C258" s="461"/>
      <c r="D258" s="462"/>
      <c r="E258" s="88"/>
    </row>
    <row r="259" spans="1:12" ht="28.5" customHeight="1" thickBot="1">
      <c r="A259" s="52" t="s">
        <v>11</v>
      </c>
      <c r="B259" s="53" t="s">
        <v>12</v>
      </c>
      <c r="C259" s="89" t="s">
        <v>132</v>
      </c>
      <c r="D259" s="55" t="s">
        <v>20</v>
      </c>
    </row>
    <row r="260" spans="1:12" ht="24" customHeight="1">
      <c r="A260" s="248" t="s">
        <v>130</v>
      </c>
      <c r="B260" s="249">
        <f>D119</f>
        <v>157.60533569733335</v>
      </c>
      <c r="C260" s="256">
        <v>0.5</v>
      </c>
      <c r="D260" s="251">
        <f>B260*C260</f>
        <v>78.802667848666673</v>
      </c>
    </row>
    <row r="261" spans="1:12" ht="24" customHeight="1" thickBot="1">
      <c r="A261" s="36" t="s">
        <v>52</v>
      </c>
      <c r="B261" s="196">
        <f>D120</f>
        <v>207.51369200148892</v>
      </c>
      <c r="C261" s="38">
        <v>0.5</v>
      </c>
      <c r="D261" s="205">
        <f>B261*C261</f>
        <v>103.75684600074446</v>
      </c>
    </row>
    <row r="262" spans="1:12" ht="24" customHeight="1">
      <c r="A262" s="248" t="s">
        <v>117</v>
      </c>
      <c r="B262" s="249">
        <f>D121</f>
        <v>193.97579778133334</v>
      </c>
      <c r="C262" s="256">
        <v>0.5</v>
      </c>
      <c r="D262" s="251">
        <f>B262*C262</f>
        <v>96.987898890666671</v>
      </c>
    </row>
    <row r="263" spans="1:12" ht="24" customHeight="1" thickBot="1">
      <c r="A263" s="22" t="s">
        <v>35</v>
      </c>
      <c r="B263" s="202">
        <f>D122</f>
        <v>253.5374808969506</v>
      </c>
      <c r="C263" s="40">
        <v>0.5</v>
      </c>
      <c r="D263" s="201">
        <f>B263*C263</f>
        <v>126.7687404484753</v>
      </c>
    </row>
    <row r="264" spans="1:12" ht="24" customHeight="1" thickBot="1"/>
    <row r="265" spans="1:12" ht="24" customHeight="1" thickBot="1">
      <c r="A265" s="436" t="s">
        <v>133</v>
      </c>
      <c r="B265" s="441"/>
      <c r="C265" s="441"/>
      <c r="D265" s="437"/>
    </row>
    <row r="266" spans="1:12" ht="24" customHeight="1" thickBot="1">
      <c r="A266" s="52" t="s">
        <v>11</v>
      </c>
      <c r="B266" s="53" t="s">
        <v>12</v>
      </c>
      <c r="C266" s="53" t="s">
        <v>13</v>
      </c>
      <c r="D266" s="55" t="s">
        <v>20</v>
      </c>
    </row>
    <row r="267" spans="1:12" ht="24" customHeight="1">
      <c r="A267" s="248" t="s">
        <v>130</v>
      </c>
      <c r="B267" s="249">
        <f>D253+D260</f>
        <v>307.50217234150006</v>
      </c>
      <c r="C267" s="254">
        <f>$B$242</f>
        <v>0.29529</v>
      </c>
      <c r="D267" s="251">
        <f>B267*C267</f>
        <v>90.80231647072155</v>
      </c>
    </row>
    <row r="268" spans="1:12" ht="24" customHeight="1" thickBot="1">
      <c r="A268" s="36" t="s">
        <v>52</v>
      </c>
      <c r="B268" s="196">
        <f>D254+D261</f>
        <v>392.52408466908616</v>
      </c>
      <c r="C268" s="56">
        <f>$B$242</f>
        <v>0.29529</v>
      </c>
      <c r="D268" s="198">
        <f>B268*C268</f>
        <v>115.90843696193446</v>
      </c>
    </row>
    <row r="269" spans="1:12" ht="24" customHeight="1">
      <c r="A269" s="248" t="s">
        <v>117</v>
      </c>
      <c r="B269" s="249">
        <f>D255+D262</f>
        <v>366.60417322799998</v>
      </c>
      <c r="C269" s="254">
        <f>$B$242</f>
        <v>0.29529</v>
      </c>
      <c r="D269" s="251">
        <f>B269*C269</f>
        <v>108.25454631249612</v>
      </c>
    </row>
    <row r="270" spans="1:12" ht="24" customHeight="1" thickBot="1">
      <c r="A270" s="22" t="s">
        <v>47</v>
      </c>
      <c r="B270" s="202">
        <f>D256+D263</f>
        <v>467.31274162421136</v>
      </c>
      <c r="C270" s="57">
        <f>$B$242</f>
        <v>0.29529</v>
      </c>
      <c r="D270" s="201">
        <f>B270*C270</f>
        <v>137.99277947421336</v>
      </c>
    </row>
    <row r="272" spans="1:12" ht="24" customHeight="1">
      <c r="A272" s="434" t="s">
        <v>134</v>
      </c>
      <c r="B272" s="435"/>
      <c r="C272" s="435"/>
      <c r="D272" s="435"/>
      <c r="E272" s="435"/>
      <c r="F272" s="435"/>
      <c r="G272" s="435"/>
      <c r="H272" s="435"/>
      <c r="I272" s="435"/>
      <c r="J272" s="435"/>
      <c r="K272" s="435"/>
      <c r="L272" s="435"/>
    </row>
    <row r="273" spans="1:12" ht="101.25" customHeight="1">
      <c r="A273" s="432" t="s">
        <v>135</v>
      </c>
      <c r="B273" s="432"/>
      <c r="C273" s="432"/>
      <c r="D273" s="432"/>
      <c r="E273" s="432"/>
      <c r="F273" s="432"/>
      <c r="G273" s="432"/>
      <c r="H273" s="432"/>
      <c r="I273" s="432"/>
      <c r="J273" s="432"/>
      <c r="K273" s="432"/>
      <c r="L273" s="432"/>
    </row>
    <row r="274" spans="1:12" ht="16.5" thickBot="1"/>
    <row r="275" spans="1:12" ht="24" customHeight="1" thickBot="1">
      <c r="A275" s="436" t="s">
        <v>136</v>
      </c>
      <c r="B275" s="441"/>
      <c r="C275" s="441"/>
      <c r="D275" s="437"/>
    </row>
    <row r="276" spans="1:12" ht="33" customHeight="1" thickBot="1">
      <c r="A276" s="52" t="s">
        <v>11</v>
      </c>
      <c r="B276" s="53" t="s">
        <v>12</v>
      </c>
      <c r="C276" s="54" t="s">
        <v>51</v>
      </c>
      <c r="D276" s="55" t="s">
        <v>20</v>
      </c>
    </row>
    <row r="277" spans="1:12" ht="24" customHeight="1">
      <c r="A277" s="27" t="s">
        <v>130</v>
      </c>
      <c r="B277" s="195">
        <f>K58+E228</f>
        <v>3370.8752633109002</v>
      </c>
      <c r="C277" s="46">
        <v>12</v>
      </c>
      <c r="D277" s="197">
        <f>B277/C277</f>
        <v>280.90627194257502</v>
      </c>
    </row>
    <row r="278" spans="1:12" ht="24" customHeight="1" thickBot="1">
      <c r="A278" s="36" t="s">
        <v>52</v>
      </c>
      <c r="B278" s="196">
        <f>K59+E229</f>
        <v>4290.0737897260187</v>
      </c>
      <c r="C278" s="87">
        <v>12</v>
      </c>
      <c r="D278" s="205">
        <f>B278/C278</f>
        <v>357.50614914383488</v>
      </c>
    </row>
    <row r="279" spans="1:12" ht="24" customHeight="1">
      <c r="A279" s="27" t="s">
        <v>117</v>
      </c>
      <c r="B279" s="195">
        <f>K60+E230</f>
        <v>4006.4490882288001</v>
      </c>
      <c r="C279" s="46">
        <v>12</v>
      </c>
      <c r="D279" s="197">
        <f>B279/C279</f>
        <v>333.87075735240001</v>
      </c>
    </row>
    <row r="280" spans="1:12" ht="24" customHeight="1">
      <c r="A280" s="36" t="s">
        <v>47</v>
      </c>
      <c r="B280" s="196">
        <f>K61+E231</f>
        <v>5094.3395006742121</v>
      </c>
      <c r="C280" s="87">
        <v>12</v>
      </c>
      <c r="D280" s="198">
        <f>B280/C280</f>
        <v>424.52829172285101</v>
      </c>
    </row>
    <row r="281" spans="1:12" ht="16.5" thickBot="1"/>
    <row r="282" spans="1:12" ht="31.5" customHeight="1" thickBot="1">
      <c r="A282" s="460" t="s">
        <v>137</v>
      </c>
      <c r="B282" s="461"/>
      <c r="C282" s="461"/>
      <c r="D282" s="462"/>
    </row>
    <row r="283" spans="1:12" ht="34.5" customHeight="1" thickBot="1">
      <c r="A283" s="52" t="s">
        <v>11</v>
      </c>
      <c r="B283" s="53" t="s">
        <v>12</v>
      </c>
      <c r="C283" s="89" t="s">
        <v>132</v>
      </c>
      <c r="D283" s="55" t="s">
        <v>20</v>
      </c>
    </row>
    <row r="284" spans="1:12" ht="24" customHeight="1">
      <c r="A284" s="248" t="s">
        <v>56</v>
      </c>
      <c r="B284" s="249">
        <f>D119</f>
        <v>157.60533569733335</v>
      </c>
      <c r="C284" s="256">
        <v>0.5</v>
      </c>
      <c r="D284" s="251">
        <f>B284*C284</f>
        <v>78.802667848666673</v>
      </c>
    </row>
    <row r="285" spans="1:12" ht="24" customHeight="1" thickBot="1">
      <c r="A285" s="36" t="s">
        <v>88</v>
      </c>
      <c r="B285" s="196">
        <f>D120</f>
        <v>207.51369200148892</v>
      </c>
      <c r="C285" s="38">
        <v>0.5</v>
      </c>
      <c r="D285" s="205">
        <f>B285*C285</f>
        <v>103.75684600074446</v>
      </c>
    </row>
    <row r="286" spans="1:12" ht="24" customHeight="1">
      <c r="A286" s="248" t="s">
        <v>53</v>
      </c>
      <c r="B286" s="249">
        <f>D121</f>
        <v>193.97579778133334</v>
      </c>
      <c r="C286" s="256">
        <v>0.5</v>
      </c>
      <c r="D286" s="251">
        <f>B286*C286</f>
        <v>96.987898890666671</v>
      </c>
    </row>
    <row r="287" spans="1:12" ht="24" customHeight="1" thickBot="1">
      <c r="A287" s="22" t="s">
        <v>47</v>
      </c>
      <c r="B287" s="202">
        <f>D122</f>
        <v>253.5374808969506</v>
      </c>
      <c r="C287" s="40">
        <v>0.5</v>
      </c>
      <c r="D287" s="201">
        <f>B287*C287</f>
        <v>126.7687404484753</v>
      </c>
    </row>
    <row r="288" spans="1:12" ht="24" customHeight="1" thickBot="1"/>
    <row r="289" spans="1:12" ht="24" customHeight="1" thickBot="1">
      <c r="A289" s="436" t="s">
        <v>138</v>
      </c>
      <c r="B289" s="441"/>
      <c r="C289" s="441"/>
      <c r="D289" s="437"/>
    </row>
    <row r="290" spans="1:12" ht="24" customHeight="1" thickBot="1">
      <c r="A290" s="52" t="s">
        <v>11</v>
      </c>
      <c r="B290" s="53" t="s">
        <v>12</v>
      </c>
      <c r="C290" s="53" t="s">
        <v>13</v>
      </c>
      <c r="D290" s="55" t="s">
        <v>20</v>
      </c>
    </row>
    <row r="291" spans="1:12" ht="24" customHeight="1">
      <c r="A291" s="248" t="s">
        <v>56</v>
      </c>
      <c r="B291" s="249">
        <f>D277+D284</f>
        <v>359.70893979124168</v>
      </c>
      <c r="C291" s="254">
        <f>$B$243</f>
        <v>0.36091000000000001</v>
      </c>
      <c r="D291" s="251">
        <f>B291*C291</f>
        <v>129.82255346005704</v>
      </c>
    </row>
    <row r="292" spans="1:12" ht="24" customHeight="1" thickBot="1">
      <c r="A292" s="36" t="s">
        <v>57</v>
      </c>
      <c r="B292" s="196">
        <f>D278+D285</f>
        <v>461.26299514457935</v>
      </c>
      <c r="C292" s="56">
        <f>$B$243</f>
        <v>0.36091000000000001</v>
      </c>
      <c r="D292" s="198">
        <f>B292*C292</f>
        <v>166.47442757763014</v>
      </c>
    </row>
    <row r="293" spans="1:12" ht="24" customHeight="1">
      <c r="A293" s="248" t="s">
        <v>53</v>
      </c>
      <c r="B293" s="249">
        <f>D279+D286</f>
        <v>430.85865624306666</v>
      </c>
      <c r="C293" s="254">
        <f>$B$243</f>
        <v>0.36091000000000001</v>
      </c>
      <c r="D293" s="251">
        <f>B293*C293</f>
        <v>155.5011976246852</v>
      </c>
    </row>
    <row r="294" spans="1:12" ht="24" customHeight="1" thickBot="1">
      <c r="A294" s="22" t="s">
        <v>47</v>
      </c>
      <c r="B294" s="202">
        <f>D280+D287</f>
        <v>551.29703217132635</v>
      </c>
      <c r="C294" s="57">
        <f>$B$243</f>
        <v>0.36091000000000001</v>
      </c>
      <c r="D294" s="201">
        <f>B294*C294</f>
        <v>198.9686118809534</v>
      </c>
    </row>
    <row r="296" spans="1:12" ht="24" customHeight="1">
      <c r="A296" s="434" t="s">
        <v>139</v>
      </c>
      <c r="B296" s="435"/>
      <c r="C296" s="435"/>
      <c r="D296" s="435"/>
      <c r="E296" s="435"/>
      <c r="F296" s="435"/>
      <c r="G296" s="435"/>
      <c r="H296" s="435"/>
      <c r="I296" s="435"/>
      <c r="J296" s="435"/>
      <c r="K296" s="435"/>
      <c r="L296" s="435"/>
    </row>
    <row r="297" spans="1:12" ht="75" customHeight="1">
      <c r="A297" s="463" t="s">
        <v>140</v>
      </c>
      <c r="B297" s="463"/>
      <c r="C297" s="463"/>
      <c r="D297" s="463"/>
      <c r="E297" s="463"/>
      <c r="F297" s="463"/>
      <c r="G297" s="463"/>
      <c r="H297" s="463"/>
      <c r="I297" s="463"/>
      <c r="J297" s="463"/>
      <c r="K297" s="463"/>
      <c r="L297" s="463"/>
    </row>
    <row r="298" spans="1:12" ht="20.25" customHeight="1" thickBot="1"/>
    <row r="299" spans="1:12" ht="24" customHeight="1" thickBot="1">
      <c r="A299" s="443" t="s">
        <v>141</v>
      </c>
      <c r="B299" s="444"/>
      <c r="C299" s="444"/>
      <c r="D299" s="444"/>
      <c r="E299" s="445"/>
    </row>
    <row r="300" spans="1:12" ht="46.5" customHeight="1" thickBot="1">
      <c r="A300" s="52" t="s">
        <v>11</v>
      </c>
      <c r="B300" s="54" t="s">
        <v>142</v>
      </c>
      <c r="C300" s="54" t="s">
        <v>143</v>
      </c>
      <c r="D300" s="54" t="s">
        <v>144</v>
      </c>
      <c r="E300" s="55" t="s">
        <v>20</v>
      </c>
    </row>
    <row r="301" spans="1:12" ht="24" customHeight="1">
      <c r="A301" s="248" t="s">
        <v>56</v>
      </c>
      <c r="B301" s="263">
        <f>-D69</f>
        <v>-137.44683333333333</v>
      </c>
      <c r="C301" s="263">
        <f>-D76</f>
        <v>-137.44683333333333</v>
      </c>
      <c r="D301" s="263">
        <f>-E83</f>
        <v>-45.811029550000001</v>
      </c>
      <c r="E301" s="264">
        <f>SUM(B301:D301)</f>
        <v>-320.70469621666666</v>
      </c>
    </row>
    <row r="302" spans="1:12" ht="24" customHeight="1" thickBot="1">
      <c r="A302" s="36" t="s">
        <v>57</v>
      </c>
      <c r="B302" s="212">
        <f>-D70</f>
        <v>-180.97166388888891</v>
      </c>
      <c r="C302" s="212">
        <f>-D77</f>
        <v>-180.97166388888891</v>
      </c>
      <c r="D302" s="212">
        <f>-E84</f>
        <v>-60.317855574166671</v>
      </c>
      <c r="E302" s="213">
        <f>SUM(B302:D302)</f>
        <v>-422.26118335194451</v>
      </c>
    </row>
    <row r="303" spans="1:12" ht="24" customHeight="1">
      <c r="A303" s="248" t="s">
        <v>53</v>
      </c>
      <c r="B303" s="263">
        <f>-D71</f>
        <v>-169.16533333333334</v>
      </c>
      <c r="C303" s="263">
        <f>-D78</f>
        <v>-169.16533333333334</v>
      </c>
      <c r="D303" s="263">
        <f>-E85</f>
        <v>-56.382805599999998</v>
      </c>
      <c r="E303" s="264">
        <f>SUM(B303:D303)</f>
        <v>-394.71347226666666</v>
      </c>
    </row>
    <row r="304" spans="1:12" ht="24" customHeight="1" thickBot="1">
      <c r="A304" s="22" t="s">
        <v>47</v>
      </c>
      <c r="B304" s="265">
        <f>-D72</f>
        <v>-221.10878243055555</v>
      </c>
      <c r="C304" s="265">
        <f>-D79</f>
        <v>-221.10878243055555</v>
      </c>
      <c r="D304" s="265">
        <f>-E86</f>
        <v>-73.69555718410416</v>
      </c>
      <c r="E304" s="266">
        <f>SUM(B304:D304)</f>
        <v>-515.91312204521523</v>
      </c>
    </row>
    <row r="305" spans="1:12" ht="24" customHeight="1" thickBot="1"/>
    <row r="306" spans="1:12" ht="24" customHeight="1" thickBot="1">
      <c r="A306" s="436" t="s">
        <v>145</v>
      </c>
      <c r="B306" s="441"/>
      <c r="C306" s="441"/>
      <c r="D306" s="437"/>
    </row>
    <row r="307" spans="1:12" ht="24" customHeight="1" thickBot="1">
      <c r="A307" s="52" t="s">
        <v>11</v>
      </c>
      <c r="B307" s="53" t="s">
        <v>27</v>
      </c>
      <c r="C307" s="53" t="s">
        <v>13</v>
      </c>
      <c r="D307" s="55" t="s">
        <v>20</v>
      </c>
    </row>
    <row r="308" spans="1:12" ht="24" customHeight="1">
      <c r="A308" s="248" t="s">
        <v>21</v>
      </c>
      <c r="B308" s="263">
        <f>E301</f>
        <v>-320.70469621666666</v>
      </c>
      <c r="C308" s="254">
        <f>$B$244</f>
        <v>4.5100000000000001E-2</v>
      </c>
      <c r="D308" s="264">
        <f>B308*C308</f>
        <v>-14.463781799371667</v>
      </c>
    </row>
    <row r="309" spans="1:12" ht="24" customHeight="1" thickBot="1">
      <c r="A309" s="36" t="s">
        <v>57</v>
      </c>
      <c r="B309" s="212">
        <f>E302</f>
        <v>-422.26118335194451</v>
      </c>
      <c r="C309" s="56">
        <f>$B$244</f>
        <v>4.5100000000000001E-2</v>
      </c>
      <c r="D309" s="213">
        <f>B309*C309</f>
        <v>-19.043979369172696</v>
      </c>
    </row>
    <row r="310" spans="1:12" ht="24" customHeight="1">
      <c r="A310" s="248" t="s">
        <v>53</v>
      </c>
      <c r="B310" s="263">
        <f>E303</f>
        <v>-394.71347226666666</v>
      </c>
      <c r="C310" s="254">
        <f>$B$244</f>
        <v>4.5100000000000001E-2</v>
      </c>
      <c r="D310" s="264">
        <f>B310*C310</f>
        <v>-17.801577599226668</v>
      </c>
    </row>
    <row r="311" spans="1:12" ht="24" customHeight="1" thickBot="1">
      <c r="A311" s="22" t="s">
        <v>47</v>
      </c>
      <c r="B311" s="265">
        <f>E304</f>
        <v>-515.91312204521523</v>
      </c>
      <c r="C311" s="57">
        <f>$B$244</f>
        <v>4.5100000000000001E-2</v>
      </c>
      <c r="D311" s="266">
        <f>B311*C311</f>
        <v>-23.267681804239206</v>
      </c>
    </row>
    <row r="313" spans="1:12" ht="24" customHeight="1">
      <c r="A313" s="433" t="s">
        <v>118</v>
      </c>
      <c r="B313" s="433"/>
      <c r="C313" s="433"/>
      <c r="D313" s="433"/>
      <c r="E313" s="433"/>
      <c r="F313" s="433"/>
      <c r="G313" s="433"/>
      <c r="H313" s="433"/>
      <c r="I313" s="433"/>
      <c r="J313" s="433"/>
      <c r="K313" s="433"/>
      <c r="L313" s="433"/>
    </row>
    <row r="314" spans="1:12" ht="24" customHeight="1" thickBot="1"/>
    <row r="315" spans="1:12" ht="24" customHeight="1" thickBot="1">
      <c r="A315" s="443" t="s">
        <v>118</v>
      </c>
      <c r="B315" s="444"/>
      <c r="C315" s="444"/>
      <c r="D315" s="444"/>
      <c r="E315" s="445"/>
    </row>
    <row r="316" spans="1:12" ht="24" customHeight="1" thickBot="1">
      <c r="A316" s="52" t="s">
        <v>11</v>
      </c>
      <c r="B316" s="53" t="s">
        <v>146</v>
      </c>
      <c r="C316" s="53" t="s">
        <v>147</v>
      </c>
      <c r="D316" s="53" t="s">
        <v>148</v>
      </c>
      <c r="E316" s="55" t="s">
        <v>44</v>
      </c>
    </row>
    <row r="317" spans="1:12" ht="24" customHeight="1">
      <c r="A317" s="248" t="s">
        <v>21</v>
      </c>
      <c r="B317" s="253">
        <f>D267</f>
        <v>90.80231647072155</v>
      </c>
      <c r="C317" s="253">
        <f>D291</f>
        <v>129.82255346005704</v>
      </c>
      <c r="D317" s="267">
        <f>D308</f>
        <v>-14.463781799371667</v>
      </c>
      <c r="E317" s="268">
        <f>SUM(B317:D317)</f>
        <v>206.1610881314069</v>
      </c>
    </row>
    <row r="318" spans="1:12" ht="24" customHeight="1" thickBot="1">
      <c r="A318" s="36" t="s">
        <v>88</v>
      </c>
      <c r="B318" s="193">
        <f>D268</f>
        <v>115.90843696193446</v>
      </c>
      <c r="C318" s="193">
        <f>D292</f>
        <v>166.47442757763014</v>
      </c>
      <c r="D318" s="214">
        <f>D309</f>
        <v>-19.043979369172696</v>
      </c>
      <c r="E318" s="215">
        <f>SUM(B318:D318)</f>
        <v>263.3388851703919</v>
      </c>
    </row>
    <row r="319" spans="1:12" ht="24" customHeight="1">
      <c r="A319" s="248" t="s">
        <v>53</v>
      </c>
      <c r="B319" s="253">
        <f>D269</f>
        <v>108.25454631249612</v>
      </c>
      <c r="C319" s="253">
        <f>D293</f>
        <v>155.5011976246852</v>
      </c>
      <c r="D319" s="267">
        <f>D310</f>
        <v>-17.801577599226668</v>
      </c>
      <c r="E319" s="268">
        <f>SUM(B319:D319)</f>
        <v>245.95416633795463</v>
      </c>
    </row>
    <row r="320" spans="1:12" ht="24" customHeight="1" thickBot="1">
      <c r="A320" s="22" t="s">
        <v>47</v>
      </c>
      <c r="B320" s="194">
        <f>D270</f>
        <v>137.99277947421336</v>
      </c>
      <c r="C320" s="194">
        <f>D294</f>
        <v>198.9686118809534</v>
      </c>
      <c r="D320" s="269">
        <f>D311</f>
        <v>-23.267681804239206</v>
      </c>
      <c r="E320" s="216">
        <f>SUM(B320:D320)</f>
        <v>313.69370955092757</v>
      </c>
    </row>
    <row r="322" spans="1:12" ht="24" customHeight="1">
      <c r="A322" s="433" t="s">
        <v>149</v>
      </c>
      <c r="B322" s="433"/>
      <c r="C322" s="433"/>
      <c r="D322" s="433"/>
      <c r="E322" s="433"/>
      <c r="F322" s="433"/>
      <c r="G322" s="433"/>
      <c r="H322" s="433"/>
      <c r="I322" s="433"/>
      <c r="J322" s="433"/>
      <c r="K322" s="433"/>
      <c r="L322" s="433"/>
    </row>
    <row r="323" spans="1:12" ht="144" customHeight="1">
      <c r="A323" s="432" t="s">
        <v>150</v>
      </c>
      <c r="B323" s="432"/>
      <c r="C323" s="432"/>
      <c r="D323" s="432"/>
      <c r="E323" s="432"/>
      <c r="F323" s="432"/>
      <c r="G323" s="432"/>
      <c r="H323" s="432"/>
      <c r="I323" s="432"/>
      <c r="J323" s="432"/>
      <c r="K323" s="432"/>
      <c r="L323" s="432"/>
    </row>
    <row r="325" spans="1:12" ht="24" customHeight="1" thickBot="1">
      <c r="A325" s="447" t="s">
        <v>151</v>
      </c>
      <c r="B325" s="448"/>
      <c r="C325" s="448"/>
      <c r="D325" s="448"/>
      <c r="E325" s="448"/>
      <c r="F325" s="448"/>
      <c r="G325" s="448"/>
      <c r="H325" s="448"/>
      <c r="I325" s="448"/>
      <c r="J325" s="448"/>
      <c r="K325" s="449"/>
    </row>
    <row r="326" spans="1:12" ht="16.5" customHeight="1" thickBot="1">
      <c r="A326" s="447" t="s">
        <v>152</v>
      </c>
      <c r="B326" s="448"/>
      <c r="C326" s="448"/>
      <c r="D326" s="448"/>
      <c r="E326" s="448"/>
      <c r="F326" s="448"/>
      <c r="G326" s="448"/>
      <c r="H326" s="448"/>
      <c r="I326" s="448"/>
      <c r="J326" s="448"/>
      <c r="K326" s="449"/>
    </row>
    <row r="327" spans="1:12" ht="24" customHeight="1" thickBot="1">
      <c r="A327" s="466" t="s">
        <v>11</v>
      </c>
      <c r="B327" s="466" t="s">
        <v>153</v>
      </c>
      <c r="C327" s="466" t="s">
        <v>154</v>
      </c>
      <c r="D327" s="58" t="s">
        <v>155</v>
      </c>
      <c r="E327" s="60"/>
      <c r="F327" s="59"/>
      <c r="G327" s="303"/>
      <c r="H327" s="303"/>
      <c r="I327" s="58" t="s">
        <v>156</v>
      </c>
      <c r="J327" s="354"/>
      <c r="K327" s="60"/>
    </row>
    <row r="328" spans="1:12" ht="31.5" customHeight="1" thickBot="1">
      <c r="A328" s="467"/>
      <c r="B328" s="467"/>
      <c r="C328" s="467"/>
      <c r="D328" s="90" t="s">
        <v>157</v>
      </c>
      <c r="E328" s="90" t="s">
        <v>158</v>
      </c>
      <c r="F328" s="90"/>
      <c r="G328" s="307"/>
      <c r="H328" s="307"/>
      <c r="I328" s="90" t="s">
        <v>157</v>
      </c>
      <c r="J328" s="307"/>
      <c r="K328" s="90" t="s">
        <v>158</v>
      </c>
    </row>
    <row r="329" spans="1:12" ht="24" customHeight="1">
      <c r="A329" s="91" t="s">
        <v>159</v>
      </c>
      <c r="B329" s="92">
        <v>1</v>
      </c>
      <c r="C329" s="93">
        <v>30</v>
      </c>
      <c r="D329" s="94">
        <v>0.5</v>
      </c>
      <c r="E329" s="95">
        <f t="shared" ref="E329:E341" si="0">(B329*C329)*D329</f>
        <v>15</v>
      </c>
      <c r="F329" s="96"/>
      <c r="G329" s="96"/>
      <c r="H329" s="96"/>
      <c r="I329" s="97">
        <f>(252/365)</f>
        <v>0.69041095890410964</v>
      </c>
      <c r="J329" s="96"/>
      <c r="K329" s="95">
        <f>(B329*C329)*I329</f>
        <v>20.712328767123289</v>
      </c>
    </row>
    <row r="330" spans="1:12" ht="24" customHeight="1">
      <c r="A330" s="82" t="s">
        <v>160</v>
      </c>
      <c r="B330" s="98">
        <v>1</v>
      </c>
      <c r="C330" s="99">
        <v>1</v>
      </c>
      <c r="D330" s="100">
        <v>1</v>
      </c>
      <c r="E330" s="101">
        <f t="shared" si="0"/>
        <v>1</v>
      </c>
      <c r="F330" s="102"/>
      <c r="G330" s="102"/>
      <c r="H330" s="102"/>
      <c r="I330" s="103">
        <v>1</v>
      </c>
      <c r="J330" s="102"/>
      <c r="K330" s="101">
        <f t="shared" ref="K330:K341" si="1">(B330*C330)*I330</f>
        <v>1</v>
      </c>
    </row>
    <row r="331" spans="1:12" ht="24" customHeight="1">
      <c r="A331" s="82" t="s">
        <v>161</v>
      </c>
      <c r="B331" s="98">
        <v>9.2200000000000004E-2</v>
      </c>
      <c r="C331" s="99">
        <v>15</v>
      </c>
      <c r="D331" s="100">
        <v>0.5</v>
      </c>
      <c r="E331" s="101">
        <f t="shared" si="0"/>
        <v>0.6915</v>
      </c>
      <c r="F331" s="102"/>
      <c r="G331" s="102"/>
      <c r="H331" s="102"/>
      <c r="I331" s="103">
        <f>(252/365)</f>
        <v>0.69041095890410964</v>
      </c>
      <c r="J331" s="102"/>
      <c r="K331" s="101">
        <f t="shared" si="1"/>
        <v>0.95483835616438362</v>
      </c>
    </row>
    <row r="332" spans="1:12" ht="24" customHeight="1">
      <c r="A332" s="82" t="s">
        <v>162</v>
      </c>
      <c r="B332" s="98">
        <v>1</v>
      </c>
      <c r="C332" s="99">
        <v>5</v>
      </c>
      <c r="D332" s="100">
        <v>0.5</v>
      </c>
      <c r="E332" s="101">
        <f t="shared" si="0"/>
        <v>2.5</v>
      </c>
      <c r="F332" s="102"/>
      <c r="G332" s="102"/>
      <c r="H332" s="102"/>
      <c r="I332" s="103">
        <f>(252/365)</f>
        <v>0.69041095890410964</v>
      </c>
      <c r="J332" s="102"/>
      <c r="K332" s="101">
        <f t="shared" si="1"/>
        <v>3.4520547945205484</v>
      </c>
    </row>
    <row r="333" spans="1:12" ht="24" customHeight="1">
      <c r="A333" s="82" t="s">
        <v>163</v>
      </c>
      <c r="B333" s="98">
        <v>0.1522</v>
      </c>
      <c r="C333" s="99">
        <v>2</v>
      </c>
      <c r="D333" s="100">
        <v>1</v>
      </c>
      <c r="E333" s="101">
        <f t="shared" si="0"/>
        <v>0.3044</v>
      </c>
      <c r="F333" s="102"/>
      <c r="G333" s="102"/>
      <c r="H333" s="102"/>
      <c r="I333" s="103">
        <v>1</v>
      </c>
      <c r="J333" s="102"/>
      <c r="K333" s="101">
        <f t="shared" si="1"/>
        <v>0.3044</v>
      </c>
    </row>
    <row r="334" spans="1:12" ht="24" customHeight="1">
      <c r="A334" s="82" t="s">
        <v>164</v>
      </c>
      <c r="B334" s="98">
        <v>3.09E-2</v>
      </c>
      <c r="C334" s="99">
        <v>2</v>
      </c>
      <c r="D334" s="100">
        <v>0.5</v>
      </c>
      <c r="E334" s="101">
        <f t="shared" si="0"/>
        <v>3.09E-2</v>
      </c>
      <c r="F334" s="102"/>
      <c r="G334" s="102"/>
      <c r="H334" s="102"/>
      <c r="I334" s="103">
        <f>(252/365)</f>
        <v>0.69041095890410964</v>
      </c>
      <c r="J334" s="102"/>
      <c r="K334" s="101">
        <f t="shared" si="1"/>
        <v>4.2667397260273979E-2</v>
      </c>
    </row>
    <row r="335" spans="1:12" ht="24" customHeight="1">
      <c r="A335" s="82" t="s">
        <v>165</v>
      </c>
      <c r="B335" s="98">
        <v>1.23E-2</v>
      </c>
      <c r="C335" s="99">
        <v>3</v>
      </c>
      <c r="D335" s="100">
        <v>0.5</v>
      </c>
      <c r="E335" s="101">
        <f t="shared" si="0"/>
        <v>1.8450000000000001E-2</v>
      </c>
      <c r="F335" s="102"/>
      <c r="G335" s="102"/>
      <c r="H335" s="102"/>
      <c r="I335" s="103">
        <v>1</v>
      </c>
      <c r="J335" s="102"/>
      <c r="K335" s="101">
        <f t="shared" si="1"/>
        <v>3.6900000000000002E-2</v>
      </c>
    </row>
    <row r="336" spans="1:12" ht="24" customHeight="1">
      <c r="A336" s="82" t="s">
        <v>166</v>
      </c>
      <c r="B336" s="98">
        <v>0.02</v>
      </c>
      <c r="C336" s="99">
        <v>1</v>
      </c>
      <c r="D336" s="100">
        <v>1</v>
      </c>
      <c r="E336" s="101">
        <f t="shared" si="0"/>
        <v>0.02</v>
      </c>
      <c r="F336" s="102"/>
      <c r="G336" s="102"/>
      <c r="H336" s="102"/>
      <c r="I336" s="103">
        <v>1</v>
      </c>
      <c r="J336" s="102"/>
      <c r="K336" s="101">
        <f t="shared" si="1"/>
        <v>0.02</v>
      </c>
    </row>
    <row r="337" spans="1:11" ht="24" customHeight="1">
      <c r="A337" s="82" t="s">
        <v>167</v>
      </c>
      <c r="B337" s="98">
        <v>4.0000000000000001E-3</v>
      </c>
      <c r="C337" s="99">
        <v>1</v>
      </c>
      <c r="D337" s="100">
        <v>1</v>
      </c>
      <c r="E337" s="101">
        <f t="shared" si="0"/>
        <v>4.0000000000000001E-3</v>
      </c>
      <c r="F337" s="102"/>
      <c r="G337" s="102"/>
      <c r="H337" s="102"/>
      <c r="I337" s="103">
        <v>1</v>
      </c>
      <c r="J337" s="102"/>
      <c r="K337" s="101">
        <f t="shared" si="1"/>
        <v>4.0000000000000001E-3</v>
      </c>
    </row>
    <row r="338" spans="1:11" ht="24" customHeight="1">
      <c r="A338" s="82" t="s">
        <v>168</v>
      </c>
      <c r="B338" s="98">
        <v>3.2099999999999997E-2</v>
      </c>
      <c r="C338" s="99">
        <v>20</v>
      </c>
      <c r="D338" s="100">
        <v>0.5</v>
      </c>
      <c r="E338" s="101">
        <f t="shared" si="0"/>
        <v>0.32099999999999995</v>
      </c>
      <c r="F338" s="102"/>
      <c r="G338" s="102"/>
      <c r="H338" s="102"/>
      <c r="I338" s="103">
        <f>(252/365)</f>
        <v>0.69041095890410964</v>
      </c>
      <c r="J338" s="102"/>
      <c r="K338" s="101">
        <f>(B338*C338)*I338</f>
        <v>0.44324383561643832</v>
      </c>
    </row>
    <row r="339" spans="1:11" ht="24" customHeight="1">
      <c r="A339" s="82" t="s">
        <v>169</v>
      </c>
      <c r="B339" s="98">
        <v>2.8E-3</v>
      </c>
      <c r="C339" s="99">
        <v>180</v>
      </c>
      <c r="D339" s="100">
        <v>0.5</v>
      </c>
      <c r="E339" s="101">
        <f t="shared" si="0"/>
        <v>0.252</v>
      </c>
      <c r="F339" s="102"/>
      <c r="G339" s="102"/>
      <c r="H339" s="102"/>
      <c r="I339" s="103">
        <f>(252/365)</f>
        <v>0.69041095890410964</v>
      </c>
      <c r="J339" s="102"/>
      <c r="K339" s="101">
        <f t="shared" si="1"/>
        <v>0.34796712328767126</v>
      </c>
    </row>
    <row r="340" spans="1:11" ht="24" customHeight="1">
      <c r="A340" s="84" t="s">
        <v>170</v>
      </c>
      <c r="B340" s="104">
        <v>2.0000000000000001E-4</v>
      </c>
      <c r="C340" s="105">
        <v>6</v>
      </c>
      <c r="D340" s="106">
        <v>1</v>
      </c>
      <c r="E340" s="107">
        <f t="shared" si="0"/>
        <v>1.2000000000000001E-3</v>
      </c>
      <c r="F340" s="108"/>
      <c r="G340" s="108"/>
      <c r="H340" s="108"/>
      <c r="I340" s="109">
        <v>1</v>
      </c>
      <c r="J340" s="108"/>
      <c r="K340" s="107">
        <f t="shared" si="1"/>
        <v>1.2000000000000001E-3</v>
      </c>
    </row>
    <row r="341" spans="1:11" ht="24" customHeight="1">
      <c r="A341" s="87" t="s">
        <v>171</v>
      </c>
      <c r="B341" s="98">
        <v>0.5</v>
      </c>
      <c r="C341" s="87">
        <v>5</v>
      </c>
      <c r="D341" s="110">
        <v>0.5</v>
      </c>
      <c r="E341" s="111">
        <f t="shared" si="0"/>
        <v>1.25</v>
      </c>
      <c r="F341" s="112"/>
      <c r="G341" s="112"/>
      <c r="H341" s="112"/>
      <c r="I341" s="110">
        <v>1</v>
      </c>
      <c r="J341" s="364"/>
      <c r="K341" s="107">
        <f t="shared" si="1"/>
        <v>2.5</v>
      </c>
    </row>
    <row r="342" spans="1:11" ht="24" customHeight="1" thickBot="1">
      <c r="A342" s="113"/>
      <c r="B342" s="113"/>
      <c r="C342" s="113"/>
      <c r="D342" s="113"/>
    </row>
    <row r="343" spans="1:11" ht="24" customHeight="1" thickBot="1">
      <c r="A343" s="446" t="s">
        <v>172</v>
      </c>
      <c r="B343" s="464"/>
      <c r="C343" s="464"/>
      <c r="D343" s="465"/>
    </row>
    <row r="344" spans="1:11" ht="24" customHeight="1" thickBot="1">
      <c r="A344" s="468" t="s">
        <v>173</v>
      </c>
      <c r="B344" s="446" t="s">
        <v>174</v>
      </c>
      <c r="C344" s="464"/>
      <c r="D344" s="465"/>
    </row>
    <row r="345" spans="1:11" ht="26.25" customHeight="1" thickBot="1">
      <c r="A345" s="469"/>
      <c r="B345" s="50" t="s">
        <v>175</v>
      </c>
      <c r="C345" s="45" t="s">
        <v>176</v>
      </c>
      <c r="D345" s="114"/>
    </row>
    <row r="346" spans="1:11" ht="24" customHeight="1">
      <c r="A346" s="91" t="s">
        <v>159</v>
      </c>
      <c r="B346" s="115">
        <f t="shared" ref="B346:B357" si="2">E329</f>
        <v>15</v>
      </c>
      <c r="C346" s="115">
        <f t="shared" ref="C346:C357" si="3">E329</f>
        <v>15</v>
      </c>
      <c r="D346" s="116">
        <f t="shared" ref="D346:D357" si="4">K329</f>
        <v>20.712328767123289</v>
      </c>
    </row>
    <row r="347" spans="1:11" ht="24" customHeight="1">
      <c r="A347" s="82" t="s">
        <v>160</v>
      </c>
      <c r="B347" s="117">
        <f t="shared" si="2"/>
        <v>1</v>
      </c>
      <c r="C347" s="117">
        <f t="shared" si="3"/>
        <v>1</v>
      </c>
      <c r="D347" s="118">
        <f t="shared" si="4"/>
        <v>1</v>
      </c>
    </row>
    <row r="348" spans="1:11" ht="24" customHeight="1">
      <c r="A348" s="82" t="s">
        <v>161</v>
      </c>
      <c r="B348" s="117">
        <f>E331</f>
        <v>0.6915</v>
      </c>
      <c r="C348" s="117">
        <f t="shared" si="3"/>
        <v>0.6915</v>
      </c>
      <c r="D348" s="118">
        <f t="shared" si="4"/>
        <v>0.95483835616438362</v>
      </c>
    </row>
    <row r="349" spans="1:11" ht="24" customHeight="1">
      <c r="A349" s="82" t="s">
        <v>162</v>
      </c>
      <c r="B349" s="117">
        <f t="shared" si="2"/>
        <v>2.5</v>
      </c>
      <c r="C349" s="117">
        <f t="shared" si="3"/>
        <v>2.5</v>
      </c>
      <c r="D349" s="118">
        <f t="shared" si="4"/>
        <v>3.4520547945205484</v>
      </c>
    </row>
    <row r="350" spans="1:11" ht="24" customHeight="1">
      <c r="A350" s="82" t="s">
        <v>163</v>
      </c>
      <c r="B350" s="117">
        <f t="shared" si="2"/>
        <v>0.3044</v>
      </c>
      <c r="C350" s="117">
        <f t="shared" si="3"/>
        <v>0.3044</v>
      </c>
      <c r="D350" s="118">
        <f t="shared" si="4"/>
        <v>0.3044</v>
      </c>
    </row>
    <row r="351" spans="1:11" ht="24" customHeight="1">
      <c r="A351" s="82" t="s">
        <v>164</v>
      </c>
      <c r="B351" s="117">
        <f t="shared" si="2"/>
        <v>3.09E-2</v>
      </c>
      <c r="C351" s="117">
        <f t="shared" si="3"/>
        <v>3.09E-2</v>
      </c>
      <c r="D351" s="118">
        <f t="shared" si="4"/>
        <v>4.2667397260273979E-2</v>
      </c>
    </row>
    <row r="352" spans="1:11" ht="24" customHeight="1">
      <c r="A352" s="82" t="s">
        <v>165</v>
      </c>
      <c r="B352" s="117">
        <f t="shared" si="2"/>
        <v>1.8450000000000001E-2</v>
      </c>
      <c r="C352" s="117">
        <f t="shared" si="3"/>
        <v>1.8450000000000001E-2</v>
      </c>
      <c r="D352" s="118">
        <f t="shared" si="4"/>
        <v>3.6900000000000002E-2</v>
      </c>
    </row>
    <row r="353" spans="1:12" ht="24" customHeight="1">
      <c r="A353" s="82" t="s">
        <v>166</v>
      </c>
      <c r="B353" s="117">
        <f t="shared" si="2"/>
        <v>0.02</v>
      </c>
      <c r="C353" s="117">
        <f t="shared" si="3"/>
        <v>0.02</v>
      </c>
      <c r="D353" s="118">
        <f t="shared" si="4"/>
        <v>0.02</v>
      </c>
    </row>
    <row r="354" spans="1:12" ht="24" customHeight="1">
      <c r="A354" s="82" t="s">
        <v>167</v>
      </c>
      <c r="B354" s="117">
        <f t="shared" si="2"/>
        <v>4.0000000000000001E-3</v>
      </c>
      <c r="C354" s="117">
        <f t="shared" si="3"/>
        <v>4.0000000000000001E-3</v>
      </c>
      <c r="D354" s="118">
        <f t="shared" si="4"/>
        <v>4.0000000000000001E-3</v>
      </c>
    </row>
    <row r="355" spans="1:12" ht="24" customHeight="1">
      <c r="A355" s="82" t="s">
        <v>168</v>
      </c>
      <c r="B355" s="117">
        <f>E338</f>
        <v>0.32099999999999995</v>
      </c>
      <c r="C355" s="117">
        <f t="shared" si="3"/>
        <v>0.32099999999999995</v>
      </c>
      <c r="D355" s="118">
        <f t="shared" si="4"/>
        <v>0.44324383561643832</v>
      </c>
    </row>
    <row r="356" spans="1:12" ht="24" customHeight="1">
      <c r="A356" s="82" t="s">
        <v>169</v>
      </c>
      <c r="B356" s="117">
        <f>E339</f>
        <v>0.252</v>
      </c>
      <c r="C356" s="117">
        <f t="shared" si="3"/>
        <v>0.252</v>
      </c>
      <c r="D356" s="118">
        <f t="shared" si="4"/>
        <v>0.34796712328767126</v>
      </c>
    </row>
    <row r="357" spans="1:12" ht="24" customHeight="1" thickBot="1">
      <c r="A357" s="84" t="s">
        <v>170</v>
      </c>
      <c r="B357" s="119">
        <f t="shared" si="2"/>
        <v>1.2000000000000001E-3</v>
      </c>
      <c r="C357" s="119">
        <f t="shared" si="3"/>
        <v>1.2000000000000001E-3</v>
      </c>
      <c r="D357" s="120">
        <f t="shared" si="4"/>
        <v>1.2000000000000001E-3</v>
      </c>
    </row>
    <row r="358" spans="1:12" ht="24" customHeight="1" thickBot="1">
      <c r="A358" s="50" t="s">
        <v>177</v>
      </c>
      <c r="B358" s="121">
        <f>SUM(B346:B357)</f>
        <v>20.143450000000005</v>
      </c>
      <c r="C358" s="121">
        <f>SUM(C346:C357)</f>
        <v>20.143450000000005</v>
      </c>
      <c r="D358" s="122">
        <f>SUM(D346:D357)</f>
        <v>27.319600273972608</v>
      </c>
      <c r="L358" s="30"/>
    </row>
    <row r="359" spans="1:12" ht="24" customHeight="1">
      <c r="A359" s="434" t="s">
        <v>178</v>
      </c>
      <c r="B359" s="435"/>
      <c r="C359" s="435"/>
      <c r="D359" s="435"/>
      <c r="E359" s="435"/>
      <c r="F359" s="435"/>
      <c r="G359" s="435"/>
      <c r="H359" s="435"/>
      <c r="I359" s="435"/>
      <c r="J359" s="435"/>
      <c r="K359" s="435"/>
      <c r="L359" s="435"/>
    </row>
    <row r="360" spans="1:12" ht="78" customHeight="1" thickBot="1">
      <c r="A360" s="432" t="s">
        <v>179</v>
      </c>
      <c r="B360" s="432"/>
      <c r="C360" s="432"/>
      <c r="D360" s="432"/>
      <c r="E360" s="432"/>
      <c r="F360" s="432"/>
      <c r="G360" s="432"/>
      <c r="H360" s="432"/>
      <c r="I360" s="432"/>
      <c r="J360" s="432"/>
      <c r="K360" s="432"/>
      <c r="L360" s="432"/>
    </row>
    <row r="361" spans="1:12" ht="24" customHeight="1" thickBot="1">
      <c r="A361" s="436" t="s">
        <v>180</v>
      </c>
      <c r="B361" s="441"/>
      <c r="C361" s="441"/>
      <c r="D361" s="437"/>
    </row>
    <row r="362" spans="1:12" ht="24" customHeight="1" thickBot="1">
      <c r="A362" s="52" t="s">
        <v>11</v>
      </c>
      <c r="B362" s="53" t="s">
        <v>12</v>
      </c>
      <c r="C362" s="53" t="s">
        <v>181</v>
      </c>
      <c r="D362" s="55" t="s">
        <v>182</v>
      </c>
    </row>
    <row r="363" spans="1:12" ht="24" customHeight="1">
      <c r="A363" s="248" t="s">
        <v>21</v>
      </c>
      <c r="B363" s="249">
        <f>K58+E228+E317</f>
        <v>3577.036351442307</v>
      </c>
      <c r="C363" s="255">
        <v>30</v>
      </c>
      <c r="D363" s="251">
        <f>B363/C363</f>
        <v>119.2345450480769</v>
      </c>
    </row>
    <row r="364" spans="1:12" ht="24" customHeight="1" thickBot="1">
      <c r="A364" s="36" t="s">
        <v>57</v>
      </c>
      <c r="B364" s="196">
        <f>K59+E229+E318</f>
        <v>4553.4126748964109</v>
      </c>
      <c r="C364" s="70">
        <f>C363</f>
        <v>30</v>
      </c>
      <c r="D364" s="198">
        <f>B364/C364</f>
        <v>151.78042249654703</v>
      </c>
    </row>
    <row r="365" spans="1:12" ht="24" customHeight="1">
      <c r="A365" s="248" t="s">
        <v>53</v>
      </c>
      <c r="B365" s="249">
        <f>K60+E230+E319</f>
        <v>4252.4032545667551</v>
      </c>
      <c r="C365" s="70">
        <f>C364</f>
        <v>30</v>
      </c>
      <c r="D365" s="251">
        <f>B365/C365</f>
        <v>141.74677515222518</v>
      </c>
    </row>
    <row r="366" spans="1:12" ht="24" customHeight="1" thickBot="1">
      <c r="A366" s="22" t="s">
        <v>47</v>
      </c>
      <c r="B366" s="202">
        <f>K61+E231+E320</f>
        <v>5408.0332102251396</v>
      </c>
      <c r="C366" s="70">
        <f>C365</f>
        <v>30</v>
      </c>
      <c r="D366" s="201">
        <f>B366/C366</f>
        <v>180.26777367417131</v>
      </c>
    </row>
    <row r="367" spans="1:12" ht="24" customHeight="1">
      <c r="A367" s="130"/>
      <c r="B367" s="275"/>
      <c r="C367" s="369"/>
      <c r="D367" s="276"/>
    </row>
    <row r="368" spans="1:12" ht="16.5" thickBot="1"/>
    <row r="369" spans="1:12" ht="24" customHeight="1" thickBot="1">
      <c r="A369" s="447" t="s">
        <v>178</v>
      </c>
      <c r="B369" s="448"/>
      <c r="C369" s="448"/>
      <c r="D369" s="448"/>
      <c r="E369" s="449"/>
    </row>
    <row r="370" spans="1:12" ht="33.75" customHeight="1" thickBot="1">
      <c r="A370" s="52" t="s">
        <v>11</v>
      </c>
      <c r="B370" s="53" t="s">
        <v>182</v>
      </c>
      <c r="C370" s="54" t="s">
        <v>183</v>
      </c>
      <c r="D370" s="53" t="s">
        <v>184</v>
      </c>
      <c r="E370" s="55" t="s">
        <v>185</v>
      </c>
    </row>
    <row r="371" spans="1:12" ht="24" customHeight="1">
      <c r="A371" s="248" t="s">
        <v>56</v>
      </c>
      <c r="B371" s="249">
        <f>D363</f>
        <v>119.2345450480769</v>
      </c>
      <c r="C371" s="249">
        <f>B358</f>
        <v>20.143450000000005</v>
      </c>
      <c r="D371" s="249">
        <f>B371*C371</f>
        <v>2401.7950964486849</v>
      </c>
      <c r="E371" s="251">
        <f>D371/12</f>
        <v>200.14959137072375</v>
      </c>
    </row>
    <row r="372" spans="1:12" ht="24" customHeight="1" thickBot="1">
      <c r="A372" s="36" t="s">
        <v>57</v>
      </c>
      <c r="B372" s="196">
        <f>D364</f>
        <v>151.78042249654703</v>
      </c>
      <c r="C372" s="196">
        <f>C358</f>
        <v>20.143450000000005</v>
      </c>
      <c r="D372" s="196">
        <f>B372*C372</f>
        <v>3057.3813515380712</v>
      </c>
      <c r="E372" s="198">
        <f>D372/12</f>
        <v>254.78177929483925</v>
      </c>
    </row>
    <row r="373" spans="1:12" ht="24" customHeight="1">
      <c r="A373" s="248" t="s">
        <v>53</v>
      </c>
      <c r="B373" s="249">
        <f>D365</f>
        <v>141.74677515222518</v>
      </c>
      <c r="C373" s="249">
        <f>B358</f>
        <v>20.143450000000005</v>
      </c>
      <c r="D373" s="249">
        <f>B373*C373</f>
        <v>2855.2690779400909</v>
      </c>
      <c r="E373" s="251">
        <f>D373/12</f>
        <v>237.93908982834091</v>
      </c>
    </row>
    <row r="374" spans="1:12" ht="24" customHeight="1" thickBot="1">
      <c r="A374" s="22" t="s">
        <v>47</v>
      </c>
      <c r="B374" s="202">
        <f>D366</f>
        <v>180.26777367417131</v>
      </c>
      <c r="C374" s="202">
        <f>C358</f>
        <v>20.143450000000005</v>
      </c>
      <c r="D374" s="202">
        <f>B374*C374</f>
        <v>3631.214885616987</v>
      </c>
      <c r="E374" s="201">
        <f>D374/12</f>
        <v>302.60124046808227</v>
      </c>
    </row>
    <row r="375" spans="1:12" ht="24" customHeight="1">
      <c r="A375" s="434" t="s">
        <v>186</v>
      </c>
      <c r="B375" s="435"/>
      <c r="C375" s="435"/>
      <c r="D375" s="435"/>
      <c r="E375" s="435"/>
      <c r="F375" s="435"/>
      <c r="G375" s="435"/>
      <c r="H375" s="435"/>
      <c r="I375" s="435"/>
      <c r="J375" s="435"/>
      <c r="K375" s="435"/>
      <c r="L375" s="435"/>
    </row>
    <row r="376" spans="1:12" ht="95.25" customHeight="1" thickBot="1">
      <c r="A376" s="432" t="s">
        <v>187</v>
      </c>
      <c r="B376" s="432"/>
      <c r="C376" s="432"/>
      <c r="D376" s="432"/>
      <c r="E376" s="432"/>
      <c r="F376" s="432"/>
      <c r="G376" s="432"/>
      <c r="H376" s="432"/>
      <c r="I376" s="432"/>
      <c r="J376" s="432"/>
      <c r="K376" s="432"/>
      <c r="L376" s="432"/>
    </row>
    <row r="377" spans="1:12" ht="22.5" customHeight="1" thickBot="1">
      <c r="A377" s="436" t="s">
        <v>188</v>
      </c>
      <c r="B377" s="441"/>
      <c r="C377" s="441"/>
      <c r="D377" s="437"/>
    </row>
    <row r="378" spans="1:12" ht="22.5" customHeight="1" thickBot="1">
      <c r="A378" s="52" t="s">
        <v>11</v>
      </c>
      <c r="B378" s="53" t="s">
        <v>12</v>
      </c>
      <c r="C378" s="53" t="s">
        <v>189</v>
      </c>
      <c r="D378" s="55" t="s">
        <v>20</v>
      </c>
    </row>
    <row r="379" spans="1:12" ht="22.5" customHeight="1">
      <c r="A379" s="248" t="s">
        <v>56</v>
      </c>
      <c r="B379" s="249">
        <f>K58+E228+E317</f>
        <v>3577.036351442307</v>
      </c>
      <c r="C379" s="262">
        <v>220</v>
      </c>
      <c r="D379" s="251">
        <f>B379/C379</f>
        <v>16.259256142919579</v>
      </c>
    </row>
    <row r="380" spans="1:12" ht="24" customHeight="1">
      <c r="A380" s="36" t="s">
        <v>57</v>
      </c>
      <c r="B380" s="196">
        <f>K59+E229+E318</f>
        <v>4553.4126748964109</v>
      </c>
      <c r="C380" s="87">
        <f>C379</f>
        <v>220</v>
      </c>
      <c r="D380" s="198">
        <f>B380/C380</f>
        <v>20.697330340438231</v>
      </c>
    </row>
    <row r="381" spans="1:12" ht="15.75">
      <c r="A381" s="273" t="s">
        <v>53</v>
      </c>
      <c r="B381" s="196">
        <f>K60+E230+E319</f>
        <v>4252.4032545667551</v>
      </c>
      <c r="C381" s="87">
        <f>C380</f>
        <v>220</v>
      </c>
      <c r="D381" s="198">
        <f>B381/C381</f>
        <v>19.329105702576161</v>
      </c>
    </row>
    <row r="382" spans="1:12" ht="16.5" thickBot="1">
      <c r="A382" s="274" t="s">
        <v>360</v>
      </c>
      <c r="B382" s="202">
        <f>K61+E231+E320</f>
        <v>5408.0332102251396</v>
      </c>
      <c r="C382" s="49">
        <f>C381</f>
        <v>220</v>
      </c>
      <c r="D382" s="201">
        <f>B382/C382</f>
        <v>24.581969137386999</v>
      </c>
    </row>
    <row r="383" spans="1:12" ht="16.5" thickBot="1">
      <c r="A383" s="217"/>
      <c r="B383" s="270"/>
      <c r="C383" s="271"/>
      <c r="D383" s="272"/>
    </row>
    <row r="384" spans="1:12" ht="24" customHeight="1" thickBot="1">
      <c r="A384" s="484" t="s">
        <v>186</v>
      </c>
      <c r="B384" s="485"/>
      <c r="C384" s="485"/>
      <c r="D384" s="486"/>
    </row>
    <row r="385" spans="1:12" ht="30" customHeight="1">
      <c r="A385" s="239" t="s">
        <v>11</v>
      </c>
      <c r="B385" s="240" t="s">
        <v>190</v>
      </c>
      <c r="C385" s="44" t="s">
        <v>191</v>
      </c>
      <c r="D385" s="241" t="s">
        <v>20</v>
      </c>
    </row>
    <row r="386" spans="1:12" ht="24" customHeight="1">
      <c r="A386" s="87" t="s">
        <v>21</v>
      </c>
      <c r="B386" s="196">
        <f>D379</f>
        <v>16.259256142919579</v>
      </c>
      <c r="C386" s="87">
        <v>15</v>
      </c>
      <c r="D386" s="247">
        <f>B386*C386</f>
        <v>243.88884214379368</v>
      </c>
    </row>
    <row r="387" spans="1:12" ht="24" customHeight="1">
      <c r="A387" s="87" t="s">
        <v>57</v>
      </c>
      <c r="B387" s="196">
        <f>D380</f>
        <v>20.697330340438231</v>
      </c>
      <c r="C387" s="87">
        <v>15</v>
      </c>
      <c r="D387" s="247">
        <f>B387*C387</f>
        <v>310.45995510657349</v>
      </c>
      <c r="E387" s="186"/>
    </row>
    <row r="388" spans="1:12" ht="24" customHeight="1">
      <c r="A388" s="87"/>
      <c r="B388" s="196"/>
      <c r="C388" s="87"/>
      <c r="D388" s="247"/>
      <c r="L388" s="30"/>
    </row>
    <row r="389" spans="1:12" ht="24" customHeight="1">
      <c r="A389" s="87" t="s">
        <v>53</v>
      </c>
      <c r="B389" s="196">
        <f>D381</f>
        <v>19.329105702576161</v>
      </c>
      <c r="C389" s="87">
        <v>15</v>
      </c>
      <c r="D389" s="247">
        <f>B389*C389</f>
        <v>289.93658553864242</v>
      </c>
    </row>
    <row r="390" spans="1:12" ht="24" customHeight="1">
      <c r="A390" s="87" t="s">
        <v>47</v>
      </c>
      <c r="B390" s="196">
        <f>D382</f>
        <v>24.581969137386999</v>
      </c>
      <c r="C390" s="87">
        <v>15</v>
      </c>
      <c r="D390" s="247">
        <f>B390*C390</f>
        <v>368.729537060805</v>
      </c>
    </row>
    <row r="391" spans="1:12" ht="24" customHeight="1">
      <c r="A391" s="433" t="s">
        <v>149</v>
      </c>
      <c r="B391" s="433"/>
      <c r="C391" s="433"/>
      <c r="D391" s="433"/>
      <c r="E391" s="433"/>
      <c r="F391" s="433"/>
      <c r="G391" s="433"/>
      <c r="H391" s="433"/>
      <c r="I391" s="433"/>
      <c r="J391" s="433"/>
      <c r="K391" s="433"/>
      <c r="L391" s="433"/>
    </row>
    <row r="392" spans="1:12" ht="24" customHeight="1" thickBot="1"/>
    <row r="393" spans="1:12" ht="24" customHeight="1" thickBot="1">
      <c r="A393" s="436" t="s">
        <v>149</v>
      </c>
      <c r="B393" s="441"/>
      <c r="C393" s="441"/>
      <c r="D393" s="437"/>
    </row>
    <row r="394" spans="1:12" ht="24" customHeight="1" thickBot="1">
      <c r="A394" s="52" t="s">
        <v>11</v>
      </c>
      <c r="B394" s="53" t="s">
        <v>192</v>
      </c>
      <c r="C394" s="53" t="s">
        <v>193</v>
      </c>
      <c r="D394" s="55" t="s">
        <v>44</v>
      </c>
    </row>
    <row r="395" spans="1:12" ht="24" customHeight="1">
      <c r="A395" s="27" t="s">
        <v>36</v>
      </c>
      <c r="B395" s="195">
        <f>E371</f>
        <v>200.14959137072375</v>
      </c>
      <c r="C395" s="195">
        <f>D386</f>
        <v>243.88884214379368</v>
      </c>
      <c r="D395" s="197">
        <f>B395+C395</f>
        <v>444.03843351451746</v>
      </c>
    </row>
    <row r="396" spans="1:12" ht="24" customHeight="1">
      <c r="A396" s="36" t="s">
        <v>37</v>
      </c>
      <c r="B396" s="196">
        <f>E372</f>
        <v>254.78177929483925</v>
      </c>
      <c r="C396" s="196">
        <f>D387</f>
        <v>310.45995510657349</v>
      </c>
      <c r="D396" s="198">
        <f>B396+C396</f>
        <v>565.24173440141271</v>
      </c>
    </row>
    <row r="397" spans="1:12" ht="24" customHeight="1" thickBot="1">
      <c r="A397" s="48"/>
      <c r="B397" s="206"/>
      <c r="C397" s="206"/>
      <c r="D397" s="199"/>
    </row>
    <row r="398" spans="1:12" ht="24" customHeight="1">
      <c r="A398" s="27" t="s">
        <v>53</v>
      </c>
      <c r="B398" s="195">
        <f>E373</f>
        <v>237.93908982834091</v>
      </c>
      <c r="C398" s="195">
        <f>D386</f>
        <v>243.88884214379368</v>
      </c>
      <c r="D398" s="197">
        <f>B398+C398</f>
        <v>481.82793197213459</v>
      </c>
    </row>
    <row r="399" spans="1:12" ht="24" customHeight="1">
      <c r="A399" s="36" t="s">
        <v>54</v>
      </c>
      <c r="B399" s="196">
        <f>E374</f>
        <v>302.60124046808227</v>
      </c>
      <c r="C399" s="196">
        <f>D387</f>
        <v>310.45995510657349</v>
      </c>
      <c r="D399" s="198">
        <f>B399+C399</f>
        <v>613.06119557465581</v>
      </c>
    </row>
    <row r="400" spans="1:12" ht="24" customHeight="1" thickBot="1">
      <c r="A400" s="22"/>
      <c r="B400" s="31"/>
      <c r="C400" s="49"/>
      <c r="D400" s="23"/>
    </row>
    <row r="402" spans="1:12" ht="24" customHeight="1">
      <c r="A402" s="433" t="s">
        <v>194</v>
      </c>
      <c r="B402" s="433"/>
      <c r="C402" s="433"/>
      <c r="D402" s="433"/>
      <c r="E402" s="433"/>
      <c r="F402" s="433"/>
      <c r="G402" s="433"/>
      <c r="H402" s="433"/>
      <c r="I402" s="433"/>
      <c r="J402" s="433"/>
      <c r="K402" s="433"/>
      <c r="L402" s="433"/>
    </row>
    <row r="403" spans="1:12" ht="24" customHeight="1">
      <c r="A403" s="370"/>
      <c r="B403" s="370"/>
      <c r="C403" s="370"/>
      <c r="D403" s="370"/>
      <c r="E403" s="370"/>
      <c r="F403" s="370"/>
      <c r="G403" s="370"/>
      <c r="H403" s="370"/>
      <c r="I403" s="370"/>
      <c r="J403" s="370"/>
      <c r="K403" s="370"/>
      <c r="L403" s="370"/>
    </row>
    <row r="404" spans="1:12" ht="24" customHeight="1" thickBot="1">
      <c r="A404" s="30"/>
      <c r="B404" s="30"/>
      <c r="C404" s="30"/>
      <c r="E404" s="30"/>
    </row>
    <row r="405" spans="1:12" ht="24" customHeight="1" thickBot="1">
      <c r="A405" s="479" t="s">
        <v>195</v>
      </c>
      <c r="B405" s="480"/>
      <c r="C405" s="480"/>
      <c r="D405" s="481"/>
      <c r="E405" s="123"/>
    </row>
    <row r="406" spans="1:12" ht="56.1" customHeight="1" thickBot="1">
      <c r="A406" s="124" t="s">
        <v>196</v>
      </c>
      <c r="B406" s="125" t="s">
        <v>197</v>
      </c>
      <c r="C406" s="126" t="s">
        <v>198</v>
      </c>
      <c r="D406" s="127" t="s">
        <v>408</v>
      </c>
    </row>
    <row r="407" spans="1:12" ht="24" customHeight="1" thickBot="1">
      <c r="A407" s="128" t="s">
        <v>199</v>
      </c>
      <c r="B407" s="129">
        <v>2</v>
      </c>
      <c r="C407" s="218">
        <v>94.99</v>
      </c>
      <c r="D407" s="219">
        <f>(B407*C407)</f>
        <v>189.98</v>
      </c>
    </row>
    <row r="408" spans="1:12" ht="24" customHeight="1" thickBot="1">
      <c r="A408" s="128" t="s">
        <v>200</v>
      </c>
      <c r="B408" s="129">
        <v>2</v>
      </c>
      <c r="C408" s="220">
        <v>56.96</v>
      </c>
      <c r="D408" s="219">
        <f t="shared" ref="D408:D415" si="5">(B408*C408)</f>
        <v>113.92</v>
      </c>
    </row>
    <row r="409" spans="1:12" ht="24" customHeight="1" thickBot="1">
      <c r="A409" s="128" t="s">
        <v>201</v>
      </c>
      <c r="B409" s="129">
        <v>2</v>
      </c>
      <c r="C409" s="220">
        <v>133.26</v>
      </c>
      <c r="D409" s="219">
        <f t="shared" si="5"/>
        <v>266.52</v>
      </c>
    </row>
    <row r="410" spans="1:12" ht="24" customHeight="1" thickBot="1">
      <c r="A410" s="128" t="s">
        <v>202</v>
      </c>
      <c r="B410" s="129">
        <v>2</v>
      </c>
      <c r="C410" s="220">
        <v>73.33</v>
      </c>
      <c r="D410" s="219">
        <f t="shared" si="5"/>
        <v>146.66</v>
      </c>
    </row>
    <row r="411" spans="1:12" ht="24" customHeight="1" thickBot="1">
      <c r="A411" s="128" t="s">
        <v>203</v>
      </c>
      <c r="B411" s="129">
        <v>1</v>
      </c>
      <c r="C411" s="220">
        <v>126.16</v>
      </c>
      <c r="D411" s="219">
        <f t="shared" si="5"/>
        <v>126.16</v>
      </c>
    </row>
    <row r="412" spans="1:12" ht="24" customHeight="1" thickBot="1">
      <c r="A412" s="128" t="s">
        <v>204</v>
      </c>
      <c r="B412" s="129">
        <v>2</v>
      </c>
      <c r="C412" s="220">
        <v>12.8</v>
      </c>
      <c r="D412" s="219">
        <f t="shared" si="5"/>
        <v>25.6</v>
      </c>
    </row>
    <row r="413" spans="1:12" ht="24" customHeight="1" thickBot="1">
      <c r="A413" s="128" t="s">
        <v>205</v>
      </c>
      <c r="B413" s="129">
        <v>2</v>
      </c>
      <c r="C413" s="221">
        <v>203.26</v>
      </c>
      <c r="D413" s="219">
        <f t="shared" si="5"/>
        <v>406.52</v>
      </c>
    </row>
    <row r="414" spans="1:12" ht="24" customHeight="1" thickBot="1">
      <c r="A414" s="128" t="s">
        <v>206</v>
      </c>
      <c r="B414" s="129">
        <v>1</v>
      </c>
      <c r="C414" s="221">
        <v>22</v>
      </c>
      <c r="D414" s="219">
        <f t="shared" si="5"/>
        <v>22</v>
      </c>
    </row>
    <row r="415" spans="1:12" ht="27.95" customHeight="1" thickBot="1">
      <c r="A415" s="128" t="s">
        <v>207</v>
      </c>
      <c r="B415" s="129">
        <v>1</v>
      </c>
      <c r="C415" s="222">
        <v>455.67</v>
      </c>
      <c r="D415" s="219">
        <f t="shared" si="5"/>
        <v>455.67</v>
      </c>
    </row>
    <row r="416" spans="1:12" ht="24" customHeight="1" thickBot="1">
      <c r="A416" s="482" t="s">
        <v>208</v>
      </c>
      <c r="B416" s="483"/>
      <c r="C416" s="481"/>
      <c r="D416" s="223">
        <f>SUM(D407:D415)</f>
        <v>1753.03</v>
      </c>
    </row>
    <row r="417" spans="1:11" ht="24" customHeight="1" thickBot="1">
      <c r="A417" s="130"/>
      <c r="B417" s="131"/>
      <c r="C417" s="131"/>
      <c r="D417" s="131"/>
      <c r="E417" s="132"/>
    </row>
    <row r="418" spans="1:11" ht="24" customHeight="1" thickBot="1">
      <c r="A418" s="479" t="s">
        <v>209</v>
      </c>
      <c r="B418" s="480"/>
      <c r="C418" s="481"/>
      <c r="D418" s="133"/>
      <c r="E418" s="133"/>
    </row>
    <row r="419" spans="1:11" ht="24" customHeight="1" thickBot="1">
      <c r="A419" s="134" t="s">
        <v>11</v>
      </c>
      <c r="B419" s="135" t="s">
        <v>184</v>
      </c>
      <c r="C419" s="136" t="s">
        <v>210</v>
      </c>
      <c r="D419" s="133"/>
      <c r="E419" s="133"/>
    </row>
    <row r="420" spans="1:11" ht="24" customHeight="1" thickBot="1">
      <c r="A420" s="27" t="s">
        <v>56</v>
      </c>
      <c r="B420" s="224">
        <f>D416</f>
        <v>1753.03</v>
      </c>
      <c r="C420" s="225">
        <f>B420/12</f>
        <v>146.08583333333334</v>
      </c>
      <c r="D420" s="131"/>
      <c r="E420" s="137"/>
    </row>
    <row r="421" spans="1:11" ht="24" customHeight="1" thickBot="1">
      <c r="A421" s="36" t="s">
        <v>57</v>
      </c>
      <c r="B421" s="220">
        <f>D416</f>
        <v>1753.03</v>
      </c>
      <c r="C421" s="225">
        <f>B421/12</f>
        <v>146.08583333333334</v>
      </c>
      <c r="D421" s="131"/>
      <c r="E421" s="137"/>
    </row>
    <row r="422" spans="1:11" ht="24" customHeight="1" thickBot="1">
      <c r="A422" s="48"/>
      <c r="B422" s="222"/>
      <c r="C422" s="225">
        <f>B422/12</f>
        <v>0</v>
      </c>
      <c r="D422" s="131"/>
      <c r="E422" s="137"/>
    </row>
    <row r="423" spans="1:11" ht="24" customHeight="1" thickBot="1">
      <c r="A423" s="27" t="s">
        <v>53</v>
      </c>
      <c r="B423" s="218">
        <f>D416</f>
        <v>1753.03</v>
      </c>
      <c r="C423" s="225">
        <f>B423/12</f>
        <v>146.08583333333334</v>
      </c>
      <c r="D423" s="131"/>
      <c r="E423" s="137"/>
    </row>
    <row r="424" spans="1:11" ht="24" customHeight="1">
      <c r="A424" s="36" t="s">
        <v>47</v>
      </c>
      <c r="B424" s="220">
        <f>D416</f>
        <v>1753.03</v>
      </c>
      <c r="C424" s="225">
        <f>B424/12</f>
        <v>146.08583333333334</v>
      </c>
      <c r="D424" s="131"/>
      <c r="E424" s="137"/>
    </row>
    <row r="425" spans="1:11" ht="24" customHeight="1" thickBot="1">
      <c r="A425" s="22"/>
      <c r="B425" s="138"/>
      <c r="C425" s="139"/>
      <c r="D425" s="131"/>
      <c r="E425" s="137"/>
    </row>
    <row r="426" spans="1:11" ht="24" customHeight="1" thickBot="1">
      <c r="A426" s="130"/>
      <c r="B426" s="131"/>
      <c r="C426" s="131"/>
      <c r="D426" s="131"/>
      <c r="E426" s="130"/>
    </row>
    <row r="427" spans="1:11" ht="24" customHeight="1" thickBot="1">
      <c r="A427" s="496" t="s">
        <v>211</v>
      </c>
      <c r="B427" s="497"/>
      <c r="C427" s="497"/>
      <c r="D427" s="497"/>
      <c r="E427" s="497"/>
      <c r="F427" s="497"/>
      <c r="G427" s="497"/>
      <c r="H427" s="497"/>
      <c r="I427" s="498"/>
      <c r="J427" s="365"/>
    </row>
    <row r="428" spans="1:11" ht="41.25" customHeight="1" thickBot="1">
      <c r="A428" s="179" t="s">
        <v>212</v>
      </c>
      <c r="B428" s="180" t="s">
        <v>213</v>
      </c>
      <c r="C428" s="181" t="s">
        <v>214</v>
      </c>
      <c r="D428" s="181" t="s">
        <v>215</v>
      </c>
      <c r="E428" s="181" t="s">
        <v>216</v>
      </c>
      <c r="F428" s="182" t="s">
        <v>218</v>
      </c>
      <c r="G428" s="308" t="s">
        <v>367</v>
      </c>
      <c r="H428" s="308"/>
      <c r="I428" s="183" t="s">
        <v>219</v>
      </c>
      <c r="J428" s="358"/>
    </row>
    <row r="429" spans="1:11" ht="24" customHeight="1">
      <c r="A429" s="140" t="s">
        <v>220</v>
      </c>
      <c r="B429" s="226">
        <v>5246.22</v>
      </c>
      <c r="C429" s="141">
        <v>7</v>
      </c>
      <c r="D429" s="142">
        <v>60</v>
      </c>
      <c r="E429" s="143">
        <f t="shared" ref="E429:E442" si="6">(B429*C429)/D429</f>
        <v>612.05899999999997</v>
      </c>
      <c r="F429" s="229">
        <f>G429/28</f>
        <v>1311.5550000000001</v>
      </c>
      <c r="G429" s="229">
        <f t="shared" ref="G429:G435" si="7">B429*C429</f>
        <v>36723.54</v>
      </c>
      <c r="H429" s="229"/>
      <c r="I429" s="144"/>
      <c r="J429" s="366"/>
    </row>
    <row r="430" spans="1:11" ht="24" customHeight="1">
      <c r="A430" s="145" t="s">
        <v>221</v>
      </c>
      <c r="B430" s="227">
        <v>143.47</v>
      </c>
      <c r="C430" s="147">
        <v>4</v>
      </c>
      <c r="D430" s="148">
        <v>36</v>
      </c>
      <c r="E430" s="143">
        <f t="shared" si="6"/>
        <v>15.941111111111111</v>
      </c>
      <c r="F430" s="229">
        <f t="shared" ref="F430:F442" si="8">G430/28</f>
        <v>20.495714285714286</v>
      </c>
      <c r="G430" s="229">
        <f t="shared" si="7"/>
        <v>573.88</v>
      </c>
      <c r="H430" s="208"/>
      <c r="I430" s="149"/>
      <c r="J430" s="366"/>
    </row>
    <row r="431" spans="1:11" ht="24" customHeight="1">
      <c r="A431" s="145" t="s">
        <v>222</v>
      </c>
      <c r="B431" s="227">
        <v>286.3</v>
      </c>
      <c r="C431" s="147">
        <v>28</v>
      </c>
      <c r="D431" s="148">
        <v>12</v>
      </c>
      <c r="E431" s="143">
        <f t="shared" si="6"/>
        <v>668.03333333333342</v>
      </c>
      <c r="F431" s="229">
        <f t="shared" si="8"/>
        <v>286.3</v>
      </c>
      <c r="G431" s="229">
        <f t="shared" si="7"/>
        <v>8016.4000000000005</v>
      </c>
      <c r="H431" s="208"/>
      <c r="I431" s="150"/>
      <c r="J431" s="367"/>
      <c r="K431" s="30"/>
    </row>
    <row r="432" spans="1:11" ht="24" customHeight="1">
      <c r="A432" s="151" t="s">
        <v>223</v>
      </c>
      <c r="B432" s="227">
        <v>24.92</v>
      </c>
      <c r="C432" s="147">
        <v>7</v>
      </c>
      <c r="D432" s="148">
        <v>12</v>
      </c>
      <c r="E432" s="143">
        <f t="shared" si="6"/>
        <v>14.536666666666667</v>
      </c>
      <c r="F432" s="229">
        <f t="shared" si="8"/>
        <v>6.2299999999999995</v>
      </c>
      <c r="G432" s="229">
        <f t="shared" si="7"/>
        <v>174.44</v>
      </c>
      <c r="H432" s="208"/>
      <c r="I432" s="149"/>
      <c r="J432" s="366"/>
    </row>
    <row r="433" spans="1:21" ht="24" customHeight="1">
      <c r="A433" s="145" t="s">
        <v>224</v>
      </c>
      <c r="B433" s="227">
        <v>34.5</v>
      </c>
      <c r="C433" s="147">
        <v>7</v>
      </c>
      <c r="D433" s="148">
        <v>24</v>
      </c>
      <c r="E433" s="143">
        <f t="shared" si="6"/>
        <v>10.0625</v>
      </c>
      <c r="F433" s="229">
        <f t="shared" si="8"/>
        <v>8.625</v>
      </c>
      <c r="G433" s="229">
        <f t="shared" si="7"/>
        <v>241.5</v>
      </c>
      <c r="H433" s="208"/>
      <c r="I433" s="149"/>
      <c r="J433" s="366"/>
    </row>
    <row r="434" spans="1:21" ht="24" customHeight="1">
      <c r="A434" s="145" t="s">
        <v>225</v>
      </c>
      <c r="B434" s="227">
        <v>35.68</v>
      </c>
      <c r="C434" s="147">
        <v>28</v>
      </c>
      <c r="D434" s="148">
        <v>12</v>
      </c>
      <c r="E434" s="143">
        <f t="shared" si="6"/>
        <v>83.25333333333333</v>
      </c>
      <c r="F434" s="229">
        <f t="shared" si="8"/>
        <v>35.68</v>
      </c>
      <c r="G434" s="229">
        <f t="shared" si="7"/>
        <v>999.04</v>
      </c>
      <c r="H434" s="208"/>
      <c r="I434" s="149"/>
      <c r="J434" s="366"/>
    </row>
    <row r="435" spans="1:21" ht="24" customHeight="1">
      <c r="A435" s="145" t="s">
        <v>226</v>
      </c>
      <c r="B435" s="227">
        <v>127.99</v>
      </c>
      <c r="C435" s="147">
        <v>7</v>
      </c>
      <c r="D435" s="148">
        <v>30</v>
      </c>
      <c r="E435" s="143">
        <f t="shared" si="6"/>
        <v>29.864333333333331</v>
      </c>
      <c r="F435" s="229">
        <f t="shared" si="8"/>
        <v>31.997499999999999</v>
      </c>
      <c r="G435" s="229">
        <f t="shared" si="7"/>
        <v>895.93</v>
      </c>
      <c r="H435" s="208"/>
      <c r="I435" s="149"/>
      <c r="J435" s="366"/>
    </row>
    <row r="436" spans="1:21" ht="24" customHeight="1">
      <c r="A436" s="145" t="s">
        <v>227</v>
      </c>
      <c r="B436" s="227">
        <v>770.65</v>
      </c>
      <c r="C436" s="147">
        <v>0</v>
      </c>
      <c r="D436" s="148">
        <v>12</v>
      </c>
      <c r="E436" s="143">
        <f t="shared" si="6"/>
        <v>0</v>
      </c>
      <c r="F436" s="229">
        <f t="shared" si="8"/>
        <v>0</v>
      </c>
      <c r="G436" s="229">
        <f t="shared" ref="G436" si="9">B436*C436</f>
        <v>0</v>
      </c>
      <c r="H436" s="208"/>
      <c r="I436" s="149"/>
      <c r="J436" s="366"/>
    </row>
    <row r="437" spans="1:21" ht="24" customHeight="1">
      <c r="A437" s="151" t="s">
        <v>228</v>
      </c>
      <c r="B437" s="227">
        <v>745.33</v>
      </c>
      <c r="C437" s="147">
        <v>7</v>
      </c>
      <c r="D437" s="148">
        <v>12</v>
      </c>
      <c r="E437" s="143">
        <f t="shared" si="6"/>
        <v>434.77583333333337</v>
      </c>
      <c r="F437" s="229">
        <f t="shared" si="8"/>
        <v>186.33250000000001</v>
      </c>
      <c r="G437" s="229">
        <f t="shared" ref="G437:G442" si="10">B437*C437</f>
        <v>5217.3100000000004</v>
      </c>
      <c r="H437" s="208"/>
      <c r="I437" s="149"/>
      <c r="J437" s="366"/>
    </row>
    <row r="438" spans="1:21" ht="24" customHeight="1">
      <c r="A438" s="145" t="s">
        <v>356</v>
      </c>
      <c r="B438" s="227">
        <v>1171.83</v>
      </c>
      <c r="C438" s="147">
        <v>7</v>
      </c>
      <c r="D438" s="148">
        <v>60</v>
      </c>
      <c r="E438" s="143">
        <f t="shared" si="6"/>
        <v>136.71349999999998</v>
      </c>
      <c r="F438" s="229">
        <f t="shared" si="8"/>
        <v>292.95749999999998</v>
      </c>
      <c r="G438" s="229">
        <f t="shared" si="10"/>
        <v>8202.81</v>
      </c>
      <c r="H438" s="208"/>
      <c r="I438" s="149"/>
      <c r="J438" s="366"/>
    </row>
    <row r="439" spans="1:21" ht="24" customHeight="1">
      <c r="A439" s="152" t="s">
        <v>230</v>
      </c>
      <c r="B439" s="227">
        <v>455.66</v>
      </c>
      <c r="C439" s="70">
        <v>28</v>
      </c>
      <c r="D439" s="153">
        <v>12</v>
      </c>
      <c r="E439" s="143">
        <f t="shared" si="6"/>
        <v>1063.2066666666667</v>
      </c>
      <c r="F439" s="229">
        <f t="shared" si="8"/>
        <v>455.66</v>
      </c>
      <c r="G439" s="229">
        <f t="shared" si="10"/>
        <v>12758.480000000001</v>
      </c>
      <c r="H439" s="208"/>
      <c r="I439" s="149"/>
      <c r="J439" s="366"/>
    </row>
    <row r="440" spans="1:21" ht="24" customHeight="1">
      <c r="A440" s="145" t="s">
        <v>231</v>
      </c>
      <c r="B440" s="227">
        <v>26.77</v>
      </c>
      <c r="C440" s="147">
        <v>28</v>
      </c>
      <c r="D440" s="148">
        <v>12</v>
      </c>
      <c r="E440" s="143">
        <f t="shared" si="6"/>
        <v>62.463333333333331</v>
      </c>
      <c r="F440" s="229">
        <f t="shared" si="8"/>
        <v>26.77</v>
      </c>
      <c r="G440" s="229">
        <f t="shared" si="10"/>
        <v>749.56</v>
      </c>
      <c r="H440" s="208"/>
      <c r="I440" s="149"/>
      <c r="J440" s="366"/>
    </row>
    <row r="441" spans="1:21" ht="24" customHeight="1">
      <c r="A441" s="145" t="s">
        <v>232</v>
      </c>
      <c r="B441" s="227">
        <v>75.66</v>
      </c>
      <c r="C441" s="147">
        <v>7</v>
      </c>
      <c r="D441" s="148">
        <v>60</v>
      </c>
      <c r="E441" s="143">
        <f t="shared" si="6"/>
        <v>8.827</v>
      </c>
      <c r="F441" s="229">
        <f t="shared" si="8"/>
        <v>18.914999999999999</v>
      </c>
      <c r="G441" s="229">
        <f t="shared" si="10"/>
        <v>529.62</v>
      </c>
      <c r="H441" s="208"/>
      <c r="I441" s="149"/>
      <c r="J441" s="366"/>
    </row>
    <row r="442" spans="1:21" ht="24" customHeight="1">
      <c r="A442" s="154" t="s">
        <v>233</v>
      </c>
      <c r="B442" s="228">
        <v>14.84</v>
      </c>
      <c r="C442" s="156">
        <v>28</v>
      </c>
      <c r="D442" s="157">
        <v>12</v>
      </c>
      <c r="E442" s="143">
        <f t="shared" si="6"/>
        <v>34.626666666666665</v>
      </c>
      <c r="F442" s="229">
        <f t="shared" si="8"/>
        <v>14.84</v>
      </c>
      <c r="G442" s="229">
        <f t="shared" si="10"/>
        <v>415.52</v>
      </c>
      <c r="H442" s="209"/>
      <c r="I442" s="159"/>
      <c r="J442" s="366"/>
    </row>
    <row r="443" spans="1:21" ht="24" customHeight="1">
      <c r="A443" s="154"/>
      <c r="B443" s="155"/>
      <c r="C443" s="156"/>
      <c r="D443" s="157"/>
      <c r="E443" s="160"/>
      <c r="F443" s="158"/>
      <c r="G443" s="158"/>
      <c r="H443" s="158"/>
      <c r="I443" s="149"/>
      <c r="J443" s="366"/>
    </row>
    <row r="444" spans="1:21" ht="24" customHeight="1">
      <c r="A444" s="154"/>
      <c r="B444" s="155"/>
      <c r="C444" s="156"/>
      <c r="D444" s="157"/>
      <c r="E444" s="160"/>
      <c r="F444" s="158"/>
      <c r="G444" s="158"/>
      <c r="H444" s="158"/>
      <c r="I444" s="149"/>
      <c r="J444" s="366"/>
    </row>
    <row r="445" spans="1:21" ht="24" customHeight="1">
      <c r="A445" s="154"/>
      <c r="B445" s="155"/>
      <c r="C445" s="156"/>
      <c r="D445" s="157"/>
      <c r="E445" s="160"/>
      <c r="F445" s="158"/>
      <c r="G445" s="158"/>
      <c r="H445" s="158"/>
      <c r="I445" s="149"/>
      <c r="J445" s="366"/>
    </row>
    <row r="446" spans="1:21" ht="24" customHeight="1">
      <c r="A446" s="154"/>
      <c r="B446" s="155"/>
      <c r="C446" s="156"/>
      <c r="D446" s="157"/>
      <c r="E446" s="160"/>
      <c r="F446" s="158"/>
      <c r="G446" s="158"/>
      <c r="H446" s="158"/>
      <c r="I446" s="149"/>
      <c r="J446" s="366"/>
    </row>
    <row r="447" spans="1:21" ht="24" customHeight="1">
      <c r="A447" s="145"/>
      <c r="B447" s="146"/>
      <c r="C447" s="147"/>
      <c r="D447" s="148"/>
      <c r="E447" s="161"/>
      <c r="F447" s="47"/>
      <c r="G447" s="309"/>
      <c r="H447" s="309"/>
      <c r="I447" s="149"/>
      <c r="J447" s="366"/>
      <c r="U447" s="359"/>
    </row>
    <row r="448" spans="1:21" ht="24" customHeight="1" thickBot="1">
      <c r="A448" s="502" t="s">
        <v>239</v>
      </c>
      <c r="B448" s="503"/>
      <c r="C448" s="503"/>
      <c r="D448" s="504"/>
      <c r="E448" s="162"/>
      <c r="F448" s="230">
        <f>SUM(F429:F447)</f>
        <v>2696.3582142857144</v>
      </c>
      <c r="G448" s="230">
        <f>SUM(G429:G447)</f>
        <v>75498.03</v>
      </c>
      <c r="H448" s="230"/>
      <c r="I448" s="163"/>
      <c r="J448" s="368"/>
    </row>
    <row r="449" spans="1:8" ht="24" customHeight="1" thickBot="1">
      <c r="A449" s="130"/>
      <c r="B449" s="131"/>
      <c r="C449" s="131"/>
      <c r="D449" s="131"/>
      <c r="E449" s="130"/>
    </row>
    <row r="450" spans="1:8" ht="24" customHeight="1" thickBot="1">
      <c r="A450" s="499" t="s">
        <v>211</v>
      </c>
      <c r="B450" s="500"/>
      <c r="C450" s="500"/>
      <c r="D450" s="500"/>
      <c r="E450" s="500"/>
      <c r="F450" s="500"/>
      <c r="G450" s="500"/>
      <c r="H450" s="501"/>
    </row>
    <row r="451" spans="1:8" ht="24" customHeight="1" thickBot="1">
      <c r="A451" s="179" t="s">
        <v>212</v>
      </c>
      <c r="B451" s="180" t="s">
        <v>213</v>
      </c>
      <c r="C451" s="181" t="s">
        <v>214</v>
      </c>
      <c r="D451" s="181" t="s">
        <v>215</v>
      </c>
      <c r="E451" s="181" t="s">
        <v>216</v>
      </c>
      <c r="F451" s="182" t="s">
        <v>217</v>
      </c>
      <c r="G451" s="182" t="s">
        <v>218</v>
      </c>
      <c r="H451" s="183" t="s">
        <v>219</v>
      </c>
    </row>
    <row r="452" spans="1:8" ht="24" customHeight="1">
      <c r="A452" s="140" t="s">
        <v>220</v>
      </c>
      <c r="B452" s="226">
        <v>5246.22</v>
      </c>
      <c r="C452" s="141">
        <v>4</v>
      </c>
      <c r="D452" s="142">
        <v>60</v>
      </c>
      <c r="E452" s="143">
        <f>(B452*C452)/D452</f>
        <v>349.74799999999999</v>
      </c>
      <c r="F452" s="229">
        <f>(B452*C452)</f>
        <v>20984.880000000001</v>
      </c>
      <c r="G452" s="229">
        <f>F452/16</f>
        <v>1311.5550000000001</v>
      </c>
      <c r="H452" s="144"/>
    </row>
    <row r="453" spans="1:8" ht="24" customHeight="1">
      <c r="A453" s="145" t="s">
        <v>221</v>
      </c>
      <c r="B453" s="227">
        <v>143.47</v>
      </c>
      <c r="C453" s="147">
        <v>2</v>
      </c>
      <c r="D453" s="148">
        <v>36</v>
      </c>
      <c r="E453" s="143">
        <f t="shared" ref="E453:E470" si="11">(B453*C453)/D453</f>
        <v>7.9705555555555554</v>
      </c>
      <c r="F453" s="229">
        <f t="shared" ref="F453:F470" si="12">(B453*C453)</f>
        <v>286.94</v>
      </c>
      <c r="G453" s="229">
        <f t="shared" ref="G453:G470" si="13">F453/16</f>
        <v>17.93375</v>
      </c>
      <c r="H453" s="149"/>
    </row>
    <row r="454" spans="1:8" ht="24" customHeight="1">
      <c r="A454" s="145" t="s">
        <v>222</v>
      </c>
      <c r="B454" s="227">
        <v>286.3</v>
      </c>
      <c r="C454" s="147">
        <v>16</v>
      </c>
      <c r="D454" s="148">
        <v>12</v>
      </c>
      <c r="E454" s="143">
        <f t="shared" si="11"/>
        <v>381.73333333333335</v>
      </c>
      <c r="F454" s="229">
        <f t="shared" si="12"/>
        <v>4580.8</v>
      </c>
      <c r="G454" s="229">
        <f t="shared" si="13"/>
        <v>286.3</v>
      </c>
      <c r="H454" s="150"/>
    </row>
    <row r="455" spans="1:8" ht="24" customHeight="1">
      <c r="A455" s="151" t="s">
        <v>223</v>
      </c>
      <c r="B455" s="227">
        <v>24.92</v>
      </c>
      <c r="C455" s="147">
        <v>4</v>
      </c>
      <c r="D455" s="148">
        <v>12</v>
      </c>
      <c r="E455" s="143">
        <f t="shared" si="11"/>
        <v>8.3066666666666666</v>
      </c>
      <c r="F455" s="229">
        <f t="shared" si="12"/>
        <v>99.68</v>
      </c>
      <c r="G455" s="229">
        <f t="shared" si="13"/>
        <v>6.23</v>
      </c>
      <c r="H455" s="149"/>
    </row>
    <row r="456" spans="1:8" ht="24" customHeight="1">
      <c r="A456" s="145" t="s">
        <v>224</v>
      </c>
      <c r="B456" s="227">
        <v>34.5</v>
      </c>
      <c r="C456" s="147">
        <v>4</v>
      </c>
      <c r="D456" s="148">
        <v>24</v>
      </c>
      <c r="E456" s="143">
        <f t="shared" si="11"/>
        <v>5.75</v>
      </c>
      <c r="F456" s="229">
        <f t="shared" si="12"/>
        <v>138</v>
      </c>
      <c r="G456" s="229">
        <f t="shared" si="13"/>
        <v>8.625</v>
      </c>
      <c r="H456" s="149"/>
    </row>
    <row r="457" spans="1:8" ht="24" customHeight="1">
      <c r="A457" s="145" t="s">
        <v>225</v>
      </c>
      <c r="B457" s="227">
        <v>35.68</v>
      </c>
      <c r="C457" s="147">
        <v>16</v>
      </c>
      <c r="D457" s="148">
        <v>12</v>
      </c>
      <c r="E457" s="143">
        <f t="shared" si="11"/>
        <v>47.573333333333331</v>
      </c>
      <c r="F457" s="229">
        <f t="shared" si="12"/>
        <v>570.88</v>
      </c>
      <c r="G457" s="229">
        <f t="shared" si="13"/>
        <v>35.68</v>
      </c>
      <c r="H457" s="149"/>
    </row>
    <row r="458" spans="1:8" ht="24" customHeight="1">
      <c r="A458" s="145" t="s">
        <v>226</v>
      </c>
      <c r="B458" s="227">
        <v>127.99</v>
      </c>
      <c r="C458" s="147">
        <v>16</v>
      </c>
      <c r="D458" s="148">
        <v>30</v>
      </c>
      <c r="E458" s="143">
        <f t="shared" si="11"/>
        <v>68.261333333333326</v>
      </c>
      <c r="F458" s="229">
        <f t="shared" si="12"/>
        <v>2047.84</v>
      </c>
      <c r="G458" s="229">
        <f t="shared" si="13"/>
        <v>127.99</v>
      </c>
      <c r="H458" s="149"/>
    </row>
    <row r="459" spans="1:8" ht="24" customHeight="1">
      <c r="A459" s="145" t="s">
        <v>227</v>
      </c>
      <c r="B459" s="227">
        <v>770.65</v>
      </c>
      <c r="C459" s="147">
        <v>2</v>
      </c>
      <c r="D459" s="148">
        <v>12</v>
      </c>
      <c r="E459" s="143">
        <f t="shared" si="11"/>
        <v>128.44166666666666</v>
      </c>
      <c r="F459" s="229">
        <f>(B459*C459)</f>
        <v>1541.3</v>
      </c>
      <c r="G459" s="229">
        <f t="shared" si="13"/>
        <v>96.331249999999997</v>
      </c>
      <c r="H459" s="149"/>
    </row>
    <row r="460" spans="1:8" ht="24" customHeight="1">
      <c r="A460" s="151" t="s">
        <v>228</v>
      </c>
      <c r="B460" s="227">
        <v>745.33</v>
      </c>
      <c r="C460" s="147">
        <v>4</v>
      </c>
      <c r="D460" s="148">
        <v>12</v>
      </c>
      <c r="E460" s="143">
        <f t="shared" si="11"/>
        <v>248.44333333333336</v>
      </c>
      <c r="F460" s="229">
        <f t="shared" si="12"/>
        <v>2981.32</v>
      </c>
      <c r="G460" s="229">
        <f t="shared" si="13"/>
        <v>186.33250000000001</v>
      </c>
      <c r="H460" s="149"/>
    </row>
    <row r="461" spans="1:8" ht="24" customHeight="1">
      <c r="A461" s="145" t="s">
        <v>229</v>
      </c>
      <c r="B461" s="227">
        <v>1171.83</v>
      </c>
      <c r="C461" s="147">
        <v>4</v>
      </c>
      <c r="D461" s="148">
        <v>60</v>
      </c>
      <c r="E461" s="143">
        <f t="shared" si="11"/>
        <v>78.122</v>
      </c>
      <c r="F461" s="229">
        <f t="shared" si="12"/>
        <v>4687.32</v>
      </c>
      <c r="G461" s="229">
        <f t="shared" si="13"/>
        <v>292.95749999999998</v>
      </c>
      <c r="H461" s="149"/>
    </row>
    <row r="462" spans="1:8" ht="24" customHeight="1">
      <c r="A462" s="152" t="s">
        <v>230</v>
      </c>
      <c r="B462" s="227">
        <v>455.66</v>
      </c>
      <c r="C462" s="70">
        <v>16</v>
      </c>
      <c r="D462" s="153">
        <v>12</v>
      </c>
      <c r="E462" s="143">
        <f t="shared" si="11"/>
        <v>607.54666666666674</v>
      </c>
      <c r="F462" s="229">
        <f t="shared" si="12"/>
        <v>7290.56</v>
      </c>
      <c r="G462" s="229">
        <f t="shared" si="13"/>
        <v>455.66</v>
      </c>
      <c r="H462" s="149"/>
    </row>
    <row r="463" spans="1:8" ht="24" customHeight="1">
      <c r="A463" s="145" t="s">
        <v>231</v>
      </c>
      <c r="B463" s="227">
        <v>26.77</v>
      </c>
      <c r="C463" s="147">
        <v>16</v>
      </c>
      <c r="D463" s="148">
        <v>12</v>
      </c>
      <c r="E463" s="143">
        <f t="shared" si="11"/>
        <v>35.693333333333335</v>
      </c>
      <c r="F463" s="229">
        <f t="shared" si="12"/>
        <v>428.32</v>
      </c>
      <c r="G463" s="229">
        <f t="shared" si="13"/>
        <v>26.77</v>
      </c>
      <c r="H463" s="149"/>
    </row>
    <row r="464" spans="1:8" ht="24" customHeight="1">
      <c r="A464" s="145" t="s">
        <v>232</v>
      </c>
      <c r="B464" s="227">
        <v>75.66</v>
      </c>
      <c r="C464" s="147">
        <v>4</v>
      </c>
      <c r="D464" s="148">
        <v>60</v>
      </c>
      <c r="E464" s="143">
        <f t="shared" si="11"/>
        <v>5.0439999999999996</v>
      </c>
      <c r="F464" s="229">
        <f t="shared" si="12"/>
        <v>302.64</v>
      </c>
      <c r="G464" s="229">
        <f t="shared" si="13"/>
        <v>18.914999999999999</v>
      </c>
      <c r="H464" s="149"/>
    </row>
    <row r="465" spans="1:11" ht="24" customHeight="1">
      <c r="A465" s="154" t="s">
        <v>233</v>
      </c>
      <c r="B465" s="228">
        <v>14.84</v>
      </c>
      <c r="C465" s="156">
        <v>16</v>
      </c>
      <c r="D465" s="157">
        <v>12</v>
      </c>
      <c r="E465" s="143">
        <f t="shared" si="11"/>
        <v>19.786666666666665</v>
      </c>
      <c r="F465" s="229">
        <f t="shared" si="12"/>
        <v>237.44</v>
      </c>
      <c r="G465" s="229">
        <f t="shared" si="13"/>
        <v>14.84</v>
      </c>
      <c r="H465" s="149"/>
    </row>
    <row r="466" spans="1:11" ht="24" customHeight="1">
      <c r="A466" s="145" t="s">
        <v>234</v>
      </c>
      <c r="B466" s="228">
        <v>151.54</v>
      </c>
      <c r="C466" s="156">
        <v>16</v>
      </c>
      <c r="D466" s="157">
        <v>151.55000000000001</v>
      </c>
      <c r="E466" s="143">
        <f t="shared" si="11"/>
        <v>15.998944242824148</v>
      </c>
      <c r="F466" s="229">
        <f t="shared" si="12"/>
        <v>2424.64</v>
      </c>
      <c r="G466" s="229">
        <f t="shared" si="13"/>
        <v>151.54</v>
      </c>
      <c r="H466" s="149"/>
    </row>
    <row r="467" spans="1:11" ht="24" customHeight="1">
      <c r="A467" s="145" t="s">
        <v>235</v>
      </c>
      <c r="B467" s="228">
        <v>135.32</v>
      </c>
      <c r="C467" s="156">
        <v>16</v>
      </c>
      <c r="D467" s="157">
        <v>111</v>
      </c>
      <c r="E467" s="143">
        <f t="shared" si="11"/>
        <v>19.505585585585585</v>
      </c>
      <c r="F467" s="229">
        <f t="shared" si="12"/>
        <v>2165.12</v>
      </c>
      <c r="G467" s="229">
        <f t="shared" si="13"/>
        <v>135.32</v>
      </c>
      <c r="H467" s="149"/>
    </row>
    <row r="468" spans="1:11" ht="24" customHeight="1">
      <c r="A468" s="145" t="s">
        <v>236</v>
      </c>
      <c r="B468" s="228">
        <v>203.63</v>
      </c>
      <c r="C468" s="156">
        <v>16</v>
      </c>
      <c r="D468" s="157">
        <v>24</v>
      </c>
      <c r="E468" s="143">
        <f t="shared" si="11"/>
        <v>135.75333333333333</v>
      </c>
      <c r="F468" s="229">
        <f t="shared" si="12"/>
        <v>3258.08</v>
      </c>
      <c r="G468" s="229">
        <f t="shared" si="13"/>
        <v>203.63</v>
      </c>
      <c r="H468" s="149"/>
    </row>
    <row r="469" spans="1:11" ht="24" customHeight="1">
      <c r="A469" s="145" t="s">
        <v>237</v>
      </c>
      <c r="B469" s="228">
        <v>111</v>
      </c>
      <c r="C469" s="156">
        <v>16</v>
      </c>
      <c r="D469" s="157">
        <v>36</v>
      </c>
      <c r="E469" s="143">
        <f t="shared" si="11"/>
        <v>49.333333333333336</v>
      </c>
      <c r="F469" s="229">
        <f t="shared" si="12"/>
        <v>1776</v>
      </c>
      <c r="G469" s="229">
        <f t="shared" si="13"/>
        <v>111</v>
      </c>
      <c r="H469" s="149"/>
    </row>
    <row r="470" spans="1:11" ht="24" customHeight="1">
      <c r="A470" s="145" t="s">
        <v>238</v>
      </c>
      <c r="B470" s="227">
        <f>Moto!I31</f>
        <v>3465.2</v>
      </c>
      <c r="C470" s="147">
        <v>4</v>
      </c>
      <c r="D470" s="148">
        <v>60</v>
      </c>
      <c r="E470" s="143">
        <f t="shared" si="11"/>
        <v>231.01333333333332</v>
      </c>
      <c r="F470" s="229">
        <f t="shared" si="12"/>
        <v>13860.8</v>
      </c>
      <c r="G470" s="229">
        <f t="shared" si="13"/>
        <v>866.3</v>
      </c>
      <c r="H470" s="149"/>
    </row>
    <row r="471" spans="1:11" ht="24" customHeight="1" thickBot="1">
      <c r="A471" s="502" t="s">
        <v>239</v>
      </c>
      <c r="B471" s="503"/>
      <c r="C471" s="503"/>
      <c r="D471" s="504"/>
      <c r="E471" s="162"/>
      <c r="F471" s="230">
        <f>SUM(F452:F470)</f>
        <v>69662.559999999998</v>
      </c>
      <c r="G471" s="230">
        <f>SUM(G452:G470)</f>
        <v>4353.91</v>
      </c>
      <c r="H471" s="163"/>
    </row>
    <row r="472" spans="1:11" ht="24" customHeight="1" thickBot="1">
      <c r="A472" s="130"/>
      <c r="B472" s="131"/>
      <c r="C472" s="131"/>
      <c r="D472" s="131"/>
      <c r="E472" s="130"/>
      <c r="F472" s="359"/>
      <c r="K472" s="373"/>
    </row>
    <row r="473" spans="1:11" ht="24" customHeight="1" thickBot="1">
      <c r="A473" s="470" t="s">
        <v>240</v>
      </c>
      <c r="B473" s="471"/>
      <c r="C473" s="471"/>
      <c r="D473" s="472"/>
      <c r="K473" s="373"/>
    </row>
    <row r="474" spans="1:11" ht="27.75" customHeight="1" thickBot="1">
      <c r="A474" s="164" t="s">
        <v>11</v>
      </c>
      <c r="B474" s="165" t="s">
        <v>184</v>
      </c>
      <c r="C474" s="165" t="s">
        <v>185</v>
      </c>
      <c r="D474" s="166" t="s">
        <v>241</v>
      </c>
      <c r="G474" s="359"/>
    </row>
    <row r="475" spans="1:11" ht="24" customHeight="1" thickBot="1">
      <c r="A475" s="248" t="s">
        <v>21</v>
      </c>
      <c r="B475" s="277">
        <f>G448</f>
        <v>75498.03</v>
      </c>
      <c r="C475" s="277">
        <f>(B475/12)</f>
        <v>6291.5024999999996</v>
      </c>
      <c r="D475" s="278">
        <f>C475/28</f>
        <v>224.69651785714285</v>
      </c>
      <c r="E475" s="359"/>
    </row>
    <row r="476" spans="1:11" ht="24" customHeight="1" thickBot="1">
      <c r="A476" s="36" t="s">
        <v>242</v>
      </c>
      <c r="B476" s="277">
        <f>G448</f>
        <v>75498.03</v>
      </c>
      <c r="C476" s="277">
        <f>B476/12</f>
        <v>6291.5024999999996</v>
      </c>
      <c r="D476" s="231">
        <f>C476/28</f>
        <v>224.69651785714285</v>
      </c>
      <c r="E476" s="359"/>
      <c r="J476" s="17" t="s">
        <v>407</v>
      </c>
    </row>
    <row r="477" spans="1:11" ht="24" customHeight="1" thickBot="1">
      <c r="A477" s="248" t="s">
        <v>53</v>
      </c>
      <c r="B477" s="277">
        <f>F471</f>
        <v>69662.559999999998</v>
      </c>
      <c r="C477" s="277">
        <f>(B477/12)</f>
        <v>5805.2133333333331</v>
      </c>
      <c r="D477" s="279">
        <f>C477/16</f>
        <v>362.82583333333332</v>
      </c>
      <c r="E477" s="359"/>
    </row>
    <row r="478" spans="1:11" ht="24" customHeight="1" thickBot="1">
      <c r="A478" s="22" t="s">
        <v>47</v>
      </c>
      <c r="B478" s="222">
        <f>F471</f>
        <v>69662.559999999998</v>
      </c>
      <c r="C478" s="280">
        <f>(B478/12)</f>
        <v>5805.2133333333331</v>
      </c>
      <c r="D478" s="232">
        <f>C478/16</f>
        <v>362.82583333333332</v>
      </c>
      <c r="E478" s="359"/>
    </row>
    <row r="479" spans="1:11" ht="24" customHeight="1">
      <c r="A479" s="130"/>
      <c r="B479" s="352"/>
      <c r="C479" s="352"/>
      <c r="D479" s="353"/>
    </row>
    <row r="480" spans="1:11" ht="24" customHeight="1">
      <c r="A480" s="130"/>
      <c r="B480" s="352"/>
      <c r="C480" s="352"/>
      <c r="D480" s="353"/>
    </row>
    <row r="481" spans="1:12" ht="24" customHeight="1">
      <c r="A481" s="130"/>
      <c r="B481" s="352"/>
      <c r="C481" s="352"/>
      <c r="D481" s="353"/>
    </row>
    <row r="482" spans="1:12" ht="24" customHeight="1">
      <c r="A482" s="130"/>
      <c r="B482" s="352"/>
      <c r="C482" s="352"/>
      <c r="D482" s="353"/>
    </row>
    <row r="483" spans="1:12" ht="24" customHeight="1" thickBot="1"/>
    <row r="484" spans="1:12" ht="24" customHeight="1" thickBot="1">
      <c r="A484" s="473" t="s">
        <v>194</v>
      </c>
      <c r="B484" s="474"/>
      <c r="C484" s="474"/>
      <c r="D484" s="475"/>
    </row>
    <row r="485" spans="1:12" ht="20.25" customHeight="1" thickBot="1">
      <c r="A485" s="167" t="s">
        <v>11</v>
      </c>
      <c r="B485" s="168" t="s">
        <v>243</v>
      </c>
      <c r="C485" s="168" t="s">
        <v>244</v>
      </c>
      <c r="D485" s="169" t="s">
        <v>20</v>
      </c>
    </row>
    <row r="486" spans="1:12" ht="24" customHeight="1">
      <c r="A486" s="248" t="s">
        <v>56</v>
      </c>
      <c r="B486" s="281">
        <f>C420</f>
        <v>146.08583333333334</v>
      </c>
      <c r="C486" s="281">
        <f>D475</f>
        <v>224.69651785714285</v>
      </c>
      <c r="D486" s="278">
        <f>SUM(B486:C486)</f>
        <v>370.78235119047622</v>
      </c>
    </row>
    <row r="487" spans="1:12" ht="24" customHeight="1" thickBot="1">
      <c r="A487" s="36" t="s">
        <v>88</v>
      </c>
      <c r="B487" s="233">
        <f>C421</f>
        <v>146.08583333333334</v>
      </c>
      <c r="C487" s="233">
        <f>D476</f>
        <v>224.69651785714285</v>
      </c>
      <c r="D487" s="231">
        <f>SUM(B487:C487)</f>
        <v>370.78235119047622</v>
      </c>
    </row>
    <row r="488" spans="1:12" ht="24" customHeight="1">
      <c r="A488" s="248" t="s">
        <v>53</v>
      </c>
      <c r="B488" s="282">
        <f>C423</f>
        <v>146.08583333333334</v>
      </c>
      <c r="C488" s="282">
        <f>D477</f>
        <v>362.82583333333332</v>
      </c>
      <c r="D488" s="279">
        <f>SUM(B488:C488)</f>
        <v>508.91166666666663</v>
      </c>
    </row>
    <row r="489" spans="1:12" ht="24" customHeight="1" thickBot="1">
      <c r="A489" s="22" t="s">
        <v>47</v>
      </c>
      <c r="B489" s="234">
        <f>C424</f>
        <v>146.08583333333334</v>
      </c>
      <c r="C489" s="234">
        <f>D478</f>
        <v>362.82583333333332</v>
      </c>
      <c r="D489" s="232">
        <f>SUM(B489:C489)</f>
        <v>508.91166666666663</v>
      </c>
    </row>
    <row r="491" spans="1:12" ht="24" customHeight="1">
      <c r="A491" s="433" t="s">
        <v>245</v>
      </c>
      <c r="B491" s="433"/>
      <c r="C491" s="433"/>
      <c r="D491" s="433"/>
      <c r="E491" s="433"/>
      <c r="F491" s="433"/>
      <c r="G491" s="433"/>
      <c r="H491" s="433"/>
      <c r="I491" s="433"/>
      <c r="J491" s="433"/>
      <c r="K491" s="433"/>
      <c r="L491" s="433"/>
    </row>
    <row r="492" spans="1:12" ht="24" customHeight="1" thickBot="1">
      <c r="A492" s="476"/>
      <c r="B492" s="476"/>
      <c r="C492" s="476"/>
      <c r="D492" s="476"/>
      <c r="E492" s="476"/>
      <c r="F492" s="476"/>
      <c r="G492" s="476"/>
      <c r="H492" s="476"/>
      <c r="I492" s="476"/>
      <c r="J492" s="357"/>
    </row>
    <row r="493" spans="1:12" ht="49.5" customHeight="1">
      <c r="A493" s="477" t="s">
        <v>246</v>
      </c>
      <c r="B493" s="478"/>
      <c r="C493" s="51"/>
      <c r="D493" s="51"/>
      <c r="E493" s="51"/>
      <c r="F493" s="51"/>
      <c r="G493" s="304"/>
      <c r="H493" s="304"/>
      <c r="I493" s="51"/>
      <c r="J493" s="357"/>
    </row>
    <row r="494" spans="1:12" ht="24" customHeight="1">
      <c r="A494" s="170" t="s">
        <v>247</v>
      </c>
      <c r="B494" s="171">
        <v>0.06</v>
      </c>
      <c r="C494" s="51"/>
      <c r="D494" s="51"/>
      <c r="E494" s="51"/>
      <c r="F494" s="51"/>
      <c r="G494" s="304"/>
      <c r="H494" s="304"/>
      <c r="I494" s="51"/>
      <c r="J494" s="357"/>
    </row>
    <row r="495" spans="1:12" ht="24" customHeight="1">
      <c r="A495" s="170" t="s">
        <v>248</v>
      </c>
      <c r="B495" s="171">
        <v>8.6499999999999994E-2</v>
      </c>
      <c r="C495" s="51"/>
      <c r="D495" s="51"/>
      <c r="E495" s="51"/>
      <c r="F495" s="51"/>
      <c r="G495" s="304"/>
      <c r="H495" s="304"/>
      <c r="I495" s="51"/>
      <c r="J495" s="357"/>
    </row>
    <row r="496" spans="1:12" ht="24" customHeight="1" thickBot="1">
      <c r="A496" s="76" t="s">
        <v>249</v>
      </c>
      <c r="B496" s="172">
        <v>6.7900000000000002E-2</v>
      </c>
      <c r="C496" s="51"/>
      <c r="D496" s="51"/>
      <c r="E496" s="51"/>
      <c r="F496" s="51"/>
      <c r="G496" s="304"/>
      <c r="H496" s="304"/>
      <c r="I496" s="51"/>
      <c r="J496" s="357"/>
    </row>
    <row r="498" spans="1:12" ht="24" customHeight="1" thickBot="1">
      <c r="A498" s="436" t="s">
        <v>245</v>
      </c>
      <c r="B498" s="441"/>
      <c r="C498" s="441"/>
      <c r="D498" s="437"/>
    </row>
    <row r="499" spans="1:12" ht="24" customHeight="1" thickBot="1">
      <c r="A499" s="52" t="s">
        <v>11</v>
      </c>
      <c r="B499" s="53" t="s">
        <v>12</v>
      </c>
      <c r="C499" s="53" t="s">
        <v>13</v>
      </c>
      <c r="D499" s="55" t="s">
        <v>20</v>
      </c>
    </row>
    <row r="500" spans="1:12" ht="24" customHeight="1">
      <c r="A500" s="27" t="s">
        <v>21</v>
      </c>
      <c r="B500" s="224">
        <f>K58+E228+E317+D395+D486</f>
        <v>4391.8571361473005</v>
      </c>
      <c r="C500" s="173">
        <f>((1+$B$494)/(1-$B$495-$B$496))-1</f>
        <v>0.25354777672658479</v>
      </c>
      <c r="D500" s="197">
        <f>B500*C500</f>
        <v>1113.5456125709338</v>
      </c>
    </row>
    <row r="501" spans="1:12" ht="24" customHeight="1" thickBot="1">
      <c r="A501" s="36" t="s">
        <v>57</v>
      </c>
      <c r="B501" s="220">
        <f>K59+E229+E318+D396+D487</f>
        <v>5489.4367604883</v>
      </c>
      <c r="C501" s="174">
        <f>((1+$B$494)/(1-$B$495-$B$496))-1</f>
        <v>0.25354777672658479</v>
      </c>
      <c r="D501" s="198">
        <f>B501*C501</f>
        <v>1391.8344861029943</v>
      </c>
    </row>
    <row r="502" spans="1:12" ht="24" customHeight="1">
      <c r="A502" s="27" t="s">
        <v>53</v>
      </c>
      <c r="B502" s="224">
        <f>K60+E230+E319+D398+D488</f>
        <v>5243.1428532055561</v>
      </c>
      <c r="C502" s="173">
        <f>((1+$B$494)/(1-$B$495-$B$496))-1</f>
        <v>0.25354777672658479</v>
      </c>
      <c r="D502" s="197">
        <f>B502*C502</f>
        <v>1329.387213490151</v>
      </c>
    </row>
    <row r="503" spans="1:12" ht="24" customHeight="1">
      <c r="A503" s="36" t="s">
        <v>47</v>
      </c>
      <c r="B503" s="220">
        <f>K61+E231+E320+D399+D489</f>
        <v>6530.0060724664618</v>
      </c>
      <c r="C503" s="174">
        <f>((1+$B$494)/(1-$B$495-$B$496))-1</f>
        <v>0.25354777672658479</v>
      </c>
      <c r="D503" s="198">
        <f>B503*C503</f>
        <v>1655.6685216849694</v>
      </c>
    </row>
    <row r="505" spans="1:12" ht="24" customHeight="1">
      <c r="A505" s="433" t="s">
        <v>250</v>
      </c>
      <c r="B505" s="433"/>
      <c r="C505" s="433"/>
      <c r="D505" s="433"/>
      <c r="E505" s="433"/>
      <c r="F505" s="433"/>
      <c r="G505" s="433"/>
      <c r="H505" s="433"/>
      <c r="I505" s="433"/>
      <c r="J505" s="433"/>
      <c r="K505" s="433"/>
      <c r="L505" s="433"/>
    </row>
    <row r="506" spans="1:12" ht="51" customHeight="1">
      <c r="A506" s="432" t="s">
        <v>251</v>
      </c>
      <c r="B506" s="432"/>
      <c r="C506" s="432"/>
      <c r="D506" s="432"/>
      <c r="E506" s="432"/>
      <c r="F506" s="432"/>
      <c r="G506" s="432"/>
      <c r="H506" s="432"/>
      <c r="I506" s="432"/>
      <c r="J506" s="355"/>
    </row>
    <row r="507" spans="1:12" ht="24" customHeight="1" thickBot="1"/>
    <row r="508" spans="1:12" ht="24" customHeight="1" thickBot="1">
      <c r="A508" s="438" t="s">
        <v>252</v>
      </c>
      <c r="B508" s="439"/>
      <c r="C508" s="439"/>
      <c r="D508" s="440"/>
    </row>
    <row r="509" spans="1:12" ht="24" customHeight="1" thickBot="1">
      <c r="A509" s="24" t="s">
        <v>11</v>
      </c>
      <c r="B509" s="25" t="s">
        <v>12</v>
      </c>
      <c r="C509" s="25" t="s">
        <v>253</v>
      </c>
      <c r="D509" s="26" t="s">
        <v>20</v>
      </c>
    </row>
    <row r="510" spans="1:12" ht="24" customHeight="1">
      <c r="A510" s="27"/>
      <c r="B510" s="28"/>
      <c r="C510" s="46"/>
      <c r="D510" s="35"/>
    </row>
    <row r="511" spans="1:12" ht="24" customHeight="1">
      <c r="A511" s="36"/>
      <c r="B511" s="37"/>
      <c r="C511" s="87"/>
      <c r="D511" s="39"/>
    </row>
    <row r="512" spans="1:12" ht="24" customHeight="1" thickBot="1">
      <c r="A512" s="22"/>
      <c r="B512" s="31"/>
      <c r="C512" s="49"/>
      <c r="D512" s="23"/>
      <c r="L512" s="30"/>
    </row>
    <row r="513" spans="1:12" ht="24" customHeight="1" thickBot="1">
      <c r="A513" s="130"/>
      <c r="B513" s="283"/>
      <c r="C513" s="130"/>
      <c r="D513" s="284"/>
      <c r="L513" s="285"/>
    </row>
    <row r="514" spans="1:12" ht="24" customHeight="1">
      <c r="A514" s="493" t="s">
        <v>357</v>
      </c>
      <c r="B514" s="494"/>
      <c r="C514" s="494"/>
      <c r="D514" s="495"/>
      <c r="L514" s="285"/>
    </row>
    <row r="516" spans="1:12" ht="24" customHeight="1">
      <c r="A516" s="433" t="s">
        <v>254</v>
      </c>
      <c r="B516" s="433"/>
      <c r="C516" s="433"/>
      <c r="D516" s="433"/>
      <c r="E516" s="433"/>
      <c r="F516" s="433"/>
      <c r="G516" s="433"/>
      <c r="H516" s="433"/>
      <c r="I516" s="433"/>
      <c r="J516" s="433"/>
      <c r="K516" s="433"/>
      <c r="L516" s="433"/>
    </row>
    <row r="517" spans="1:12" s="186" customFormat="1" ht="24" customHeight="1" thickBot="1"/>
    <row r="518" spans="1:12" ht="24" customHeight="1" thickBot="1">
      <c r="A518" s="484" t="s">
        <v>255</v>
      </c>
      <c r="B518" s="485"/>
      <c r="C518" s="485"/>
      <c r="D518" s="505"/>
      <c r="E518" s="176"/>
    </row>
    <row r="519" spans="1:12" ht="24" customHeight="1" thickBot="1">
      <c r="A519" s="77" t="s">
        <v>256</v>
      </c>
      <c r="B519" s="374" t="s">
        <v>257</v>
      </c>
      <c r="C519" s="25" t="s">
        <v>258</v>
      </c>
      <c r="D519" s="175" t="s">
        <v>259</v>
      </c>
      <c r="E519" s="177" t="s">
        <v>260</v>
      </c>
    </row>
    <row r="520" spans="1:12" ht="32.1" customHeight="1">
      <c r="A520" s="91" t="s">
        <v>261</v>
      </c>
      <c r="B520" s="195">
        <f>K58</f>
        <v>1649.3620000000001</v>
      </c>
      <c r="C520" s="195">
        <f>K59</f>
        <v>2171.6599666666671</v>
      </c>
      <c r="D520" s="207">
        <f>K60</f>
        <v>2029.9840000000002</v>
      </c>
      <c r="E520" s="196">
        <f>K61</f>
        <v>2653.3053891666668</v>
      </c>
    </row>
    <row r="521" spans="1:12" ht="32.1" customHeight="1">
      <c r="A521" s="82" t="s">
        <v>262</v>
      </c>
      <c r="B521" s="196">
        <f>E228</f>
        <v>1721.5132633109001</v>
      </c>
      <c r="C521" s="196">
        <f>E229</f>
        <v>2118.4138230593521</v>
      </c>
      <c r="D521" s="208">
        <f>E230</f>
        <v>1976.4650882288001</v>
      </c>
      <c r="E521" s="196">
        <f>E231</f>
        <v>2441.0341115075448</v>
      </c>
    </row>
    <row r="522" spans="1:12" ht="32.1" customHeight="1">
      <c r="A522" s="82" t="s">
        <v>263</v>
      </c>
      <c r="B522" s="196">
        <f>E317</f>
        <v>206.1610881314069</v>
      </c>
      <c r="C522" s="196">
        <f>E318</f>
        <v>263.3388851703919</v>
      </c>
      <c r="D522" s="208">
        <f>E319</f>
        <v>245.95416633795463</v>
      </c>
      <c r="E522" s="196">
        <f>E320</f>
        <v>313.69370955092757</v>
      </c>
    </row>
    <row r="523" spans="1:12" ht="32.1" customHeight="1">
      <c r="A523" s="82" t="s">
        <v>264</v>
      </c>
      <c r="B523" s="196">
        <f>D395</f>
        <v>444.03843351451746</v>
      </c>
      <c r="C523" s="196">
        <f>D396</f>
        <v>565.24173440141271</v>
      </c>
      <c r="D523" s="208">
        <f>D398</f>
        <v>481.82793197213459</v>
      </c>
      <c r="E523" s="196">
        <f>D399</f>
        <v>613.06119557465581</v>
      </c>
    </row>
    <row r="524" spans="1:12" ht="32.1" customHeight="1">
      <c r="A524" s="82" t="s">
        <v>265</v>
      </c>
      <c r="B524" s="196">
        <f>D486</f>
        <v>370.78235119047622</v>
      </c>
      <c r="C524" s="196">
        <f>D487</f>
        <v>370.78235119047622</v>
      </c>
      <c r="D524" s="208">
        <f>D488</f>
        <v>508.91166666666663</v>
      </c>
      <c r="E524" s="196">
        <f>D489</f>
        <v>508.91166666666663</v>
      </c>
    </row>
    <row r="525" spans="1:12" ht="32.1" customHeight="1">
      <c r="A525" s="82" t="s">
        <v>266</v>
      </c>
      <c r="B525" s="196">
        <f>D500</f>
        <v>1113.5456125709338</v>
      </c>
      <c r="C525" s="196">
        <f>D501</f>
        <v>1391.8344861029943</v>
      </c>
      <c r="D525" s="208">
        <f>D502</f>
        <v>1329.387213490151</v>
      </c>
      <c r="E525" s="196">
        <f>D503</f>
        <v>1655.6685216849694</v>
      </c>
    </row>
    <row r="526" spans="1:12" ht="32.1" customHeight="1">
      <c r="A526" s="82" t="s">
        <v>267</v>
      </c>
      <c r="B526" s="196">
        <f>D510</f>
        <v>0</v>
      </c>
      <c r="C526" s="196">
        <f>D511</f>
        <v>0</v>
      </c>
      <c r="D526" s="208">
        <f>D512</f>
        <v>0</v>
      </c>
      <c r="E526" s="196"/>
    </row>
    <row r="527" spans="1:12" ht="32.1" customHeight="1" thickBot="1">
      <c r="A527" s="178" t="s">
        <v>268</v>
      </c>
      <c r="B527" s="235">
        <f>SUM(B520:B526)</f>
        <v>5505.4027487182339</v>
      </c>
      <c r="C527" s="235">
        <f>SUM(C520:C526)</f>
        <v>6881.2712465912946</v>
      </c>
      <c r="D527" s="235">
        <f>SUM(D520:D526)</f>
        <v>6572.5300666957073</v>
      </c>
      <c r="E527" s="235">
        <f>SUM(E520:E526)</f>
        <v>8185.6745941514309</v>
      </c>
    </row>
    <row r="528" spans="1:12" ht="32.1" customHeight="1" thickBot="1">
      <c r="A528" s="50" t="s">
        <v>269</v>
      </c>
      <c r="B528" s="236">
        <f>B527*2</f>
        <v>11010.805497436468</v>
      </c>
      <c r="C528" s="236">
        <f>C527*2</f>
        <v>13762.542493182589</v>
      </c>
      <c r="D528" s="237">
        <f>D527*2</f>
        <v>13145.060133391415</v>
      </c>
      <c r="E528" s="238">
        <f>E527*2</f>
        <v>16371.349188302862</v>
      </c>
    </row>
    <row r="529" spans="1:8" ht="24" customHeight="1" thickBot="1">
      <c r="A529" s="72"/>
      <c r="B529" s="73"/>
      <c r="C529" s="73"/>
      <c r="D529" s="73"/>
      <c r="E529" s="73"/>
    </row>
    <row r="530" spans="1:8" ht="24" customHeight="1">
      <c r="A530" s="386" t="s">
        <v>196</v>
      </c>
      <c r="B530" s="385" t="s">
        <v>411</v>
      </c>
      <c r="C530" s="387" t="s">
        <v>412</v>
      </c>
      <c r="D530" s="387" t="s">
        <v>413</v>
      </c>
      <c r="E530" s="387" t="s">
        <v>241</v>
      </c>
      <c r="F530" s="387" t="s">
        <v>414</v>
      </c>
      <c r="G530" s="388" t="s">
        <v>415</v>
      </c>
      <c r="H530" s="380"/>
    </row>
    <row r="531" spans="1:8" ht="24" customHeight="1">
      <c r="A531" s="381" t="s">
        <v>416</v>
      </c>
      <c r="B531" s="382" t="s">
        <v>422</v>
      </c>
      <c r="C531" s="381">
        <v>7</v>
      </c>
      <c r="D531" s="381">
        <v>2</v>
      </c>
      <c r="E531" s="383">
        <f>B527</f>
        <v>5505.4027487182339</v>
      </c>
      <c r="F531" s="384">
        <f>B528*C531</f>
        <v>77075.638482055278</v>
      </c>
      <c r="G531" s="389">
        <f>F531*12</f>
        <v>924907.66178466333</v>
      </c>
      <c r="H531" s="379"/>
    </row>
    <row r="532" spans="1:8" ht="24" customHeight="1">
      <c r="A532" s="381" t="s">
        <v>417</v>
      </c>
      <c r="B532" s="382" t="s">
        <v>424</v>
      </c>
      <c r="C532" s="381">
        <v>7</v>
      </c>
      <c r="D532" s="381">
        <v>2</v>
      </c>
      <c r="E532" s="383">
        <f>C527</f>
        <v>6881.2712465912946</v>
      </c>
      <c r="F532" s="384">
        <f>C528*C532</f>
        <v>96337.79745227813</v>
      </c>
      <c r="G532" s="389">
        <f t="shared" ref="G532:G534" si="14">F532*12</f>
        <v>1156053.5694273375</v>
      </c>
      <c r="H532" s="379"/>
    </row>
    <row r="533" spans="1:8" ht="24" customHeight="1">
      <c r="A533" s="381" t="s">
        <v>418</v>
      </c>
      <c r="B533" s="382" t="s">
        <v>423</v>
      </c>
      <c r="C533" s="381">
        <v>4</v>
      </c>
      <c r="D533" s="381">
        <v>2</v>
      </c>
      <c r="E533" s="383">
        <f>D527</f>
        <v>6572.5300666957073</v>
      </c>
      <c r="F533" s="384">
        <f>D528*C533</f>
        <v>52580.240533565659</v>
      </c>
      <c r="G533" s="389">
        <f t="shared" si="14"/>
        <v>630962.88640278787</v>
      </c>
      <c r="H533" s="379"/>
    </row>
    <row r="534" spans="1:8" ht="24" customHeight="1" thickBot="1">
      <c r="A534" s="381" t="s">
        <v>419</v>
      </c>
      <c r="B534" s="382" t="s">
        <v>425</v>
      </c>
      <c r="C534" s="391">
        <v>4</v>
      </c>
      <c r="D534" s="391">
        <v>2</v>
      </c>
      <c r="E534" s="392">
        <f>E527</f>
        <v>8185.6745941514309</v>
      </c>
      <c r="F534" s="393">
        <f>E528*C534</f>
        <v>65485.396753211448</v>
      </c>
      <c r="G534" s="389">
        <f t="shared" si="14"/>
        <v>785824.76103853737</v>
      </c>
      <c r="H534" s="379"/>
    </row>
    <row r="535" spans="1:8" ht="24" customHeight="1" thickBot="1">
      <c r="A535" s="390"/>
      <c r="B535" s="390"/>
      <c r="C535" s="487" t="s">
        <v>420</v>
      </c>
      <c r="D535" s="488"/>
      <c r="E535" s="488"/>
      <c r="F535" s="394">
        <f>SUM(F531:F534)</f>
        <v>291479.07322111051</v>
      </c>
      <c r="G535" s="395"/>
      <c r="H535" s="377"/>
    </row>
    <row r="536" spans="1:8" ht="24" customHeight="1" thickBot="1">
      <c r="A536" s="390"/>
      <c r="B536" s="390"/>
      <c r="C536" s="489" t="s">
        <v>421</v>
      </c>
      <c r="D536" s="490"/>
      <c r="E536" s="490"/>
      <c r="F536" s="491">
        <f>SUM(G531:G534)</f>
        <v>3497748.8786533261</v>
      </c>
      <c r="G536" s="492"/>
      <c r="H536" s="378"/>
    </row>
  </sheetData>
  <mergeCells count="116">
    <mergeCell ref="C535:E535"/>
    <mergeCell ref="C536:E536"/>
    <mergeCell ref="F536:G536"/>
    <mergeCell ref="A516:L516"/>
    <mergeCell ref="A514:D514"/>
    <mergeCell ref="A418:C418"/>
    <mergeCell ref="A427:I427"/>
    <mergeCell ref="A450:H450"/>
    <mergeCell ref="A448:D448"/>
    <mergeCell ref="A471:D471"/>
    <mergeCell ref="A518:D518"/>
    <mergeCell ref="A498:D498"/>
    <mergeCell ref="A505:L505"/>
    <mergeCell ref="A506:I506"/>
    <mergeCell ref="A508:D508"/>
    <mergeCell ref="A344:A345"/>
    <mergeCell ref="B327:B328"/>
    <mergeCell ref="C327:C328"/>
    <mergeCell ref="A473:D473"/>
    <mergeCell ref="A484:D484"/>
    <mergeCell ref="A491:L491"/>
    <mergeCell ref="A492:I492"/>
    <mergeCell ref="A493:B493"/>
    <mergeCell ref="A393:D393"/>
    <mergeCell ref="A402:L402"/>
    <mergeCell ref="A405:D405"/>
    <mergeCell ref="A416:C416"/>
    <mergeCell ref="A376:L376"/>
    <mergeCell ref="A377:D377"/>
    <mergeCell ref="A384:D384"/>
    <mergeCell ref="A391:L391"/>
    <mergeCell ref="B344:D344"/>
    <mergeCell ref="A359:L359"/>
    <mergeCell ref="A360:L360"/>
    <mergeCell ref="A361:D361"/>
    <mergeCell ref="A369:E369"/>
    <mergeCell ref="A375:L375"/>
    <mergeCell ref="A289:D289"/>
    <mergeCell ref="A296:L296"/>
    <mergeCell ref="A297:L297"/>
    <mergeCell ref="A299:E299"/>
    <mergeCell ref="A306:D306"/>
    <mergeCell ref="A325:K325"/>
    <mergeCell ref="A326:K326"/>
    <mergeCell ref="A343:D343"/>
    <mergeCell ref="A323:L323"/>
    <mergeCell ref="A322:L322"/>
    <mergeCell ref="A315:E315"/>
    <mergeCell ref="A313:L313"/>
    <mergeCell ref="A327:A328"/>
    <mergeCell ref="A248:L248"/>
    <mergeCell ref="A249:L249"/>
    <mergeCell ref="A251:D251"/>
    <mergeCell ref="A258:D258"/>
    <mergeCell ref="A265:D265"/>
    <mergeCell ref="A272:L272"/>
    <mergeCell ref="A273:L273"/>
    <mergeCell ref="A275:D275"/>
    <mergeCell ref="A282:D282"/>
    <mergeCell ref="A198:D198"/>
    <mergeCell ref="A217:I217"/>
    <mergeCell ref="A224:L224"/>
    <mergeCell ref="A226:E226"/>
    <mergeCell ref="A236:L236"/>
    <mergeCell ref="A237:L237"/>
    <mergeCell ref="A205:D205"/>
    <mergeCell ref="A212:B212"/>
    <mergeCell ref="A239:B239"/>
    <mergeCell ref="A142:E142"/>
    <mergeCell ref="A149:D149"/>
    <mergeCell ref="A156:I156"/>
    <mergeCell ref="A158:D158"/>
    <mergeCell ref="A165:D165"/>
    <mergeCell ref="A172:D172"/>
    <mergeCell ref="A181:D181"/>
    <mergeCell ref="A188:L188"/>
    <mergeCell ref="A190:D190"/>
    <mergeCell ref="A96:L96"/>
    <mergeCell ref="A98:B98"/>
    <mergeCell ref="A110:D110"/>
    <mergeCell ref="A117:D117"/>
    <mergeCell ref="A124:D124"/>
    <mergeCell ref="A131:L131"/>
    <mergeCell ref="A132:L132"/>
    <mergeCell ref="A134:I134"/>
    <mergeCell ref="A135:E135"/>
    <mergeCell ref="A16:L16"/>
    <mergeCell ref="A18:D18"/>
    <mergeCell ref="A23:L23"/>
    <mergeCell ref="A24:L24"/>
    <mergeCell ref="A26:D26"/>
    <mergeCell ref="A34:L34"/>
    <mergeCell ref="A35:L35"/>
    <mergeCell ref="A37:E37"/>
    <mergeCell ref="A95:L95"/>
    <mergeCell ref="A41:E41"/>
    <mergeCell ref="A54:L54"/>
    <mergeCell ref="A56:K56"/>
    <mergeCell ref="A64:L64"/>
    <mergeCell ref="A65:L65"/>
    <mergeCell ref="A67:D67"/>
    <mergeCell ref="A74:D74"/>
    <mergeCell ref="A81:E81"/>
    <mergeCell ref="A88:E88"/>
    <mergeCell ref="A46:D46"/>
    <mergeCell ref="A51:D51"/>
    <mergeCell ref="A53:L53"/>
    <mergeCell ref="A1:L1"/>
    <mergeCell ref="A2:L2"/>
    <mergeCell ref="A3:L3"/>
    <mergeCell ref="A5:L5"/>
    <mergeCell ref="A6:L6"/>
    <mergeCell ref="A8:L8"/>
    <mergeCell ref="A9:L9"/>
    <mergeCell ref="A11:B11"/>
    <mergeCell ref="A15:L15"/>
  </mergeCells>
  <pageMargins left="0.51181102362204722" right="0.51181102362204722" top="0.78740157480314965" bottom="0.78740157480314965" header="0.31496062992125984" footer="0.31496062992125984"/>
  <pageSetup paperSize="9" scale="25"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0:I59"/>
  <sheetViews>
    <sheetView topLeftCell="A55" zoomScale="142" zoomScaleNormal="142" workbookViewId="0">
      <selection activeCell="D71" sqref="D71"/>
    </sheetView>
  </sheetViews>
  <sheetFormatPr defaultRowHeight="15"/>
  <cols>
    <col min="1" max="1" width="21.140625" bestFit="1" customWidth="1"/>
    <col min="2" max="2" width="9.7109375" bestFit="1" customWidth="1"/>
    <col min="3" max="3" width="16.140625" bestFit="1" customWidth="1"/>
    <col min="4" max="4" width="13.42578125" bestFit="1" customWidth="1"/>
    <col min="5" max="5" width="15.42578125" customWidth="1"/>
    <col min="6" max="6" width="16.42578125" bestFit="1" customWidth="1"/>
    <col min="7" max="7" width="15.85546875" bestFit="1" customWidth="1"/>
    <col min="8" max="8" width="12.140625" bestFit="1" customWidth="1"/>
    <col min="9" max="9" width="13.85546875" bestFit="1" customWidth="1"/>
  </cols>
  <sheetData>
    <row r="10" spans="2:5">
      <c r="B10" s="524" t="s">
        <v>361</v>
      </c>
      <c r="C10" s="524"/>
      <c r="D10" s="524"/>
      <c r="E10" s="524"/>
    </row>
    <row r="17" spans="1:9">
      <c r="A17" s="192" t="s">
        <v>349</v>
      </c>
      <c r="B17" s="192" t="s">
        <v>350</v>
      </c>
      <c r="C17" s="192" t="s">
        <v>355</v>
      </c>
      <c r="D17" s="192" t="s">
        <v>351</v>
      </c>
      <c r="E17" s="192" t="s">
        <v>406</v>
      </c>
      <c r="F17" s="192" t="s">
        <v>352</v>
      </c>
    </row>
    <row r="18" spans="1:9">
      <c r="A18" s="187" t="s">
        <v>353</v>
      </c>
      <c r="B18" s="187">
        <v>7</v>
      </c>
      <c r="C18" s="188">
        <f>'Custo por trabalhador'!B527</f>
        <v>5505.4027487182339</v>
      </c>
      <c r="D18" s="188">
        <f>C18*2</f>
        <v>11010.805497436468</v>
      </c>
      <c r="E18" s="189">
        <f>B18*D18</f>
        <v>77075.638482055278</v>
      </c>
      <c r="F18" s="189">
        <f>E18*12</f>
        <v>924907.66178466333</v>
      </c>
    </row>
    <row r="19" spans="1:9">
      <c r="A19" s="187" t="s">
        <v>409</v>
      </c>
      <c r="B19" s="187">
        <v>7</v>
      </c>
      <c r="C19" s="188">
        <f>'Custo por trabalhador'!C527</f>
        <v>6881.2712465912946</v>
      </c>
      <c r="D19" s="188">
        <f>C19*2</f>
        <v>13762.542493182589</v>
      </c>
      <c r="E19" s="189">
        <f>B19*D19</f>
        <v>96337.79745227813</v>
      </c>
      <c r="F19" s="189">
        <f>E19*12</f>
        <v>1156053.5694273375</v>
      </c>
      <c r="I19" s="371"/>
    </row>
    <row r="20" spans="1:9">
      <c r="A20" s="187" t="s">
        <v>354</v>
      </c>
      <c r="B20" s="187">
        <v>4</v>
      </c>
      <c r="C20" s="188">
        <f>'Custo por trabalhador'!D527</f>
        <v>6572.5300666957073</v>
      </c>
      <c r="D20" s="188">
        <f>C20*2</f>
        <v>13145.060133391415</v>
      </c>
      <c r="E20" s="189">
        <f>B20*D20</f>
        <v>52580.240533565659</v>
      </c>
      <c r="F20" s="189">
        <f>E20*12</f>
        <v>630962.88640278787</v>
      </c>
      <c r="I20" s="371"/>
    </row>
    <row r="21" spans="1:9">
      <c r="A21" s="187" t="s">
        <v>410</v>
      </c>
      <c r="B21" s="187">
        <v>4</v>
      </c>
      <c r="C21" s="188">
        <f>'Custo por trabalhador'!E527</f>
        <v>8185.6745941514309</v>
      </c>
      <c r="D21" s="188">
        <f>C21*2</f>
        <v>16371.349188302862</v>
      </c>
      <c r="E21" s="189">
        <f>B21*D21</f>
        <v>65485.396753211448</v>
      </c>
      <c r="F21" s="189">
        <f>E21*12</f>
        <v>785824.76103853737</v>
      </c>
      <c r="I21" s="371"/>
    </row>
    <row r="22" spans="1:9">
      <c r="A22" s="190" t="s">
        <v>75</v>
      </c>
      <c r="B22" s="190"/>
      <c r="C22" s="190"/>
      <c r="D22" s="190"/>
      <c r="E22" s="191">
        <f>SUM(E18:E21)</f>
        <v>291479.07322111051</v>
      </c>
      <c r="F22" s="191">
        <f>SUM(F18:F21)</f>
        <v>3497748.8786533261</v>
      </c>
      <c r="I22" s="371"/>
    </row>
    <row r="23" spans="1:9">
      <c r="I23" s="372"/>
    </row>
    <row r="25" spans="1:9" ht="15.75" thickBot="1"/>
    <row r="26" spans="1:9" ht="15.75" thickBot="1">
      <c r="A26" s="525" t="s">
        <v>426</v>
      </c>
      <c r="B26" s="526"/>
      <c r="C26" s="526"/>
      <c r="D26" s="526"/>
      <c r="E26" s="526"/>
      <c r="F26" s="526"/>
      <c r="G26" s="526"/>
      <c r="H26" s="526"/>
      <c r="I26" s="527"/>
    </row>
    <row r="27" spans="1:9" ht="30">
      <c r="A27" s="396" t="s">
        <v>196</v>
      </c>
      <c r="B27" s="397" t="s">
        <v>427</v>
      </c>
      <c r="C27" s="397" t="s">
        <v>428</v>
      </c>
      <c r="D27" s="397" t="s">
        <v>429</v>
      </c>
      <c r="E27" s="397" t="s">
        <v>430</v>
      </c>
      <c r="F27" s="397" t="s">
        <v>431</v>
      </c>
      <c r="G27" s="397" t="s">
        <v>432</v>
      </c>
      <c r="H27" s="397" t="s">
        <v>433</v>
      </c>
      <c r="I27" s="398" t="s">
        <v>408</v>
      </c>
    </row>
    <row r="28" spans="1:9">
      <c r="A28" s="509">
        <v>1</v>
      </c>
      <c r="B28" s="528" t="s">
        <v>434</v>
      </c>
      <c r="C28" s="399">
        <v>1</v>
      </c>
      <c r="D28" s="129" t="s">
        <v>435</v>
      </c>
      <c r="E28" s="129" t="s">
        <v>155</v>
      </c>
      <c r="F28" s="129" t="s">
        <v>436</v>
      </c>
      <c r="G28" s="129" t="s">
        <v>437</v>
      </c>
      <c r="H28" s="400">
        <f>2*5505.4</f>
        <v>11010.8</v>
      </c>
      <c r="I28" s="401">
        <f>H28*12</f>
        <v>132129.59999999998</v>
      </c>
    </row>
    <row r="29" spans="1:9">
      <c r="A29" s="509"/>
      <c r="B29" s="528"/>
      <c r="C29" s="399">
        <v>1</v>
      </c>
      <c r="D29" s="129" t="s">
        <v>438</v>
      </c>
      <c r="E29" s="129" t="s">
        <v>155</v>
      </c>
      <c r="F29" s="129" t="s">
        <v>436</v>
      </c>
      <c r="G29" s="129" t="s">
        <v>439</v>
      </c>
      <c r="H29" s="400">
        <f>2*6881.27</f>
        <v>13762.54</v>
      </c>
      <c r="I29" s="401">
        <f>H29*12</f>
        <v>165150.48000000001</v>
      </c>
    </row>
    <row r="30" spans="1:9">
      <c r="A30" s="509"/>
      <c r="B30" s="528"/>
      <c r="C30" s="513" t="s">
        <v>440</v>
      </c>
      <c r="D30" s="513"/>
      <c r="E30" s="513"/>
      <c r="F30" s="513"/>
      <c r="G30" s="513"/>
      <c r="H30" s="402">
        <f>H28+H29</f>
        <v>24773.34</v>
      </c>
      <c r="I30" s="403">
        <f>I28+I29</f>
        <v>297280.07999999996</v>
      </c>
    </row>
    <row r="31" spans="1:9">
      <c r="A31" s="509">
        <v>2</v>
      </c>
      <c r="B31" s="514" t="s">
        <v>441</v>
      </c>
      <c r="C31" s="399">
        <v>1</v>
      </c>
      <c r="D31" s="129" t="s">
        <v>435</v>
      </c>
      <c r="E31" s="129" t="s">
        <v>155</v>
      </c>
      <c r="F31" s="129" t="s">
        <v>436</v>
      </c>
      <c r="G31" s="129" t="s">
        <v>437</v>
      </c>
      <c r="H31" s="400">
        <f>2*5505.4</f>
        <v>11010.8</v>
      </c>
      <c r="I31" s="401">
        <f>H31*12</f>
        <v>132129.59999999998</v>
      </c>
    </row>
    <row r="32" spans="1:9">
      <c r="A32" s="509"/>
      <c r="B32" s="514"/>
      <c r="C32" s="399">
        <v>1</v>
      </c>
      <c r="D32" s="129" t="s">
        <v>438</v>
      </c>
      <c r="E32" s="129" t="s">
        <v>155</v>
      </c>
      <c r="F32" s="129" t="s">
        <v>436</v>
      </c>
      <c r="G32" s="129" t="s">
        <v>439</v>
      </c>
      <c r="H32" s="400">
        <f>2*6881.27</f>
        <v>13762.54</v>
      </c>
      <c r="I32" s="401">
        <f>H32*12</f>
        <v>165150.48000000001</v>
      </c>
    </row>
    <row r="33" spans="1:9">
      <c r="A33" s="509"/>
      <c r="B33" s="514"/>
      <c r="C33" s="513" t="s">
        <v>440</v>
      </c>
      <c r="D33" s="513"/>
      <c r="E33" s="513"/>
      <c r="F33" s="513"/>
      <c r="G33" s="513"/>
      <c r="H33" s="402">
        <f>H31+H32</f>
        <v>24773.34</v>
      </c>
      <c r="I33" s="403">
        <f>I31+I32</f>
        <v>297280.07999999996</v>
      </c>
    </row>
    <row r="34" spans="1:9">
      <c r="A34" s="509">
        <v>3</v>
      </c>
      <c r="B34" s="514" t="s">
        <v>442</v>
      </c>
      <c r="C34" s="399">
        <v>1</v>
      </c>
      <c r="D34" s="129" t="s">
        <v>435</v>
      </c>
      <c r="E34" s="129" t="s">
        <v>155</v>
      </c>
      <c r="F34" s="129" t="s">
        <v>436</v>
      </c>
      <c r="G34" s="129" t="s">
        <v>437</v>
      </c>
      <c r="H34" s="400">
        <f>2*5505.4</f>
        <v>11010.8</v>
      </c>
      <c r="I34" s="401">
        <f>H34*12</f>
        <v>132129.59999999998</v>
      </c>
    </row>
    <row r="35" spans="1:9">
      <c r="A35" s="509"/>
      <c r="B35" s="514"/>
      <c r="C35" s="399">
        <v>1</v>
      </c>
      <c r="D35" s="129" t="s">
        <v>438</v>
      </c>
      <c r="E35" s="129" t="s">
        <v>155</v>
      </c>
      <c r="F35" s="129" t="s">
        <v>436</v>
      </c>
      <c r="G35" s="129" t="s">
        <v>439</v>
      </c>
      <c r="H35" s="400">
        <f>2*6881.27</f>
        <v>13762.54</v>
      </c>
      <c r="I35" s="401">
        <f>H35*12</f>
        <v>165150.48000000001</v>
      </c>
    </row>
    <row r="36" spans="1:9">
      <c r="A36" s="509"/>
      <c r="B36" s="514"/>
      <c r="C36" s="513" t="s">
        <v>440</v>
      </c>
      <c r="D36" s="513"/>
      <c r="E36" s="513"/>
      <c r="F36" s="513"/>
      <c r="G36" s="513"/>
      <c r="H36" s="402">
        <f>H34+H35</f>
        <v>24773.34</v>
      </c>
      <c r="I36" s="403">
        <f>I34+I35</f>
        <v>297280.07999999996</v>
      </c>
    </row>
    <row r="37" spans="1:9">
      <c r="A37" s="509">
        <v>4</v>
      </c>
      <c r="B37" s="514" t="s">
        <v>443</v>
      </c>
      <c r="C37" s="399">
        <v>1</v>
      </c>
      <c r="D37" s="129" t="s">
        <v>435</v>
      </c>
      <c r="E37" s="129" t="s">
        <v>155</v>
      </c>
      <c r="F37" s="129" t="s">
        <v>436</v>
      </c>
      <c r="G37" s="129" t="s">
        <v>437</v>
      </c>
      <c r="H37" s="400">
        <f>2*5505.4</f>
        <v>11010.8</v>
      </c>
      <c r="I37" s="401">
        <f>H37*12</f>
        <v>132129.59999999998</v>
      </c>
    </row>
    <row r="38" spans="1:9">
      <c r="A38" s="509"/>
      <c r="B38" s="514"/>
      <c r="C38" s="399">
        <v>1</v>
      </c>
      <c r="D38" s="129" t="s">
        <v>438</v>
      </c>
      <c r="E38" s="129" t="s">
        <v>155</v>
      </c>
      <c r="F38" s="129" t="s">
        <v>436</v>
      </c>
      <c r="G38" s="129" t="s">
        <v>439</v>
      </c>
      <c r="H38" s="400">
        <f>2*6881.27</f>
        <v>13762.54</v>
      </c>
      <c r="I38" s="401">
        <f>H38*12</f>
        <v>165150.48000000001</v>
      </c>
    </row>
    <row r="39" spans="1:9">
      <c r="A39" s="509"/>
      <c r="B39" s="514"/>
      <c r="C39" s="513" t="s">
        <v>440</v>
      </c>
      <c r="D39" s="513"/>
      <c r="E39" s="513"/>
      <c r="F39" s="513"/>
      <c r="G39" s="513"/>
      <c r="H39" s="402">
        <f>H37+H38</f>
        <v>24773.34</v>
      </c>
      <c r="I39" s="403">
        <f>I37+I38</f>
        <v>297280.07999999996</v>
      </c>
    </row>
    <row r="40" spans="1:9">
      <c r="A40" s="518">
        <v>5</v>
      </c>
      <c r="B40" s="510" t="s">
        <v>444</v>
      </c>
      <c r="C40" s="399">
        <v>1</v>
      </c>
      <c r="D40" s="129" t="s">
        <v>435</v>
      </c>
      <c r="E40" s="129" t="s">
        <v>155</v>
      </c>
      <c r="F40" s="129" t="s">
        <v>436</v>
      </c>
      <c r="G40" s="129" t="s">
        <v>437</v>
      </c>
      <c r="H40" s="400">
        <f>2*5505.4</f>
        <v>11010.8</v>
      </c>
      <c r="I40" s="401">
        <f>H40*12</f>
        <v>132129.59999999998</v>
      </c>
    </row>
    <row r="41" spans="1:9">
      <c r="A41" s="519"/>
      <c r="B41" s="511"/>
      <c r="C41" s="399">
        <v>1</v>
      </c>
      <c r="D41" s="129" t="s">
        <v>438</v>
      </c>
      <c r="E41" s="129" t="s">
        <v>155</v>
      </c>
      <c r="F41" s="129" t="s">
        <v>436</v>
      </c>
      <c r="G41" s="129" t="s">
        <v>439</v>
      </c>
      <c r="H41" s="400">
        <f>2*6881.27</f>
        <v>13762.54</v>
      </c>
      <c r="I41" s="401">
        <f>H41*12</f>
        <v>165150.48000000001</v>
      </c>
    </row>
    <row r="42" spans="1:9">
      <c r="A42" s="520"/>
      <c r="B42" s="512"/>
      <c r="C42" s="521" t="s">
        <v>440</v>
      </c>
      <c r="D42" s="522"/>
      <c r="E42" s="522"/>
      <c r="F42" s="522"/>
      <c r="G42" s="523"/>
      <c r="H42" s="402">
        <f>H40+H41</f>
        <v>24773.34</v>
      </c>
      <c r="I42" s="403">
        <f>I40+I41</f>
        <v>297280.07999999996</v>
      </c>
    </row>
    <row r="43" spans="1:9">
      <c r="A43" s="509">
        <v>6</v>
      </c>
      <c r="B43" s="514" t="s">
        <v>445</v>
      </c>
      <c r="C43" s="399">
        <v>1</v>
      </c>
      <c r="D43" s="129" t="s">
        <v>435</v>
      </c>
      <c r="E43" s="129" t="s">
        <v>155</v>
      </c>
      <c r="F43" s="129" t="s">
        <v>436</v>
      </c>
      <c r="G43" s="129" t="s">
        <v>437</v>
      </c>
      <c r="H43" s="400">
        <f>2*5505.4</f>
        <v>11010.8</v>
      </c>
      <c r="I43" s="401">
        <f>H43*12</f>
        <v>132129.59999999998</v>
      </c>
    </row>
    <row r="44" spans="1:9">
      <c r="A44" s="509"/>
      <c r="B44" s="514"/>
      <c r="C44" s="399">
        <v>1</v>
      </c>
      <c r="D44" s="129" t="s">
        <v>438</v>
      </c>
      <c r="E44" s="129" t="s">
        <v>155</v>
      </c>
      <c r="F44" s="129" t="s">
        <v>436</v>
      </c>
      <c r="G44" s="129" t="s">
        <v>439</v>
      </c>
      <c r="H44" s="400">
        <f>2*6881.27</f>
        <v>13762.54</v>
      </c>
      <c r="I44" s="401">
        <f>H44*12</f>
        <v>165150.48000000001</v>
      </c>
    </row>
    <row r="45" spans="1:9">
      <c r="A45" s="509"/>
      <c r="B45" s="514"/>
      <c r="C45" s="513" t="s">
        <v>440</v>
      </c>
      <c r="D45" s="513"/>
      <c r="E45" s="513"/>
      <c r="F45" s="513"/>
      <c r="G45" s="513"/>
      <c r="H45" s="402">
        <f>H43+H44</f>
        <v>24773.34</v>
      </c>
      <c r="I45" s="403">
        <f>I43+I44</f>
        <v>297280.07999999996</v>
      </c>
    </row>
    <row r="46" spans="1:9">
      <c r="A46" s="515">
        <v>7</v>
      </c>
      <c r="B46" s="516" t="s">
        <v>446</v>
      </c>
      <c r="C46" s="404">
        <v>3</v>
      </c>
      <c r="D46" s="405" t="s">
        <v>447</v>
      </c>
      <c r="E46" s="405" t="s">
        <v>155</v>
      </c>
      <c r="F46" s="405" t="s">
        <v>436</v>
      </c>
      <c r="G46" s="405" t="s">
        <v>437</v>
      </c>
      <c r="H46" s="406">
        <f>3*(2*6572.53)</f>
        <v>39435.18</v>
      </c>
      <c r="I46" s="407">
        <f>H46*12</f>
        <v>473222.16000000003</v>
      </c>
    </row>
    <row r="47" spans="1:9">
      <c r="A47" s="515"/>
      <c r="B47" s="516"/>
      <c r="C47" s="404">
        <v>3</v>
      </c>
      <c r="D47" s="405" t="s">
        <v>448</v>
      </c>
      <c r="E47" s="405" t="s">
        <v>155</v>
      </c>
      <c r="F47" s="405" t="s">
        <v>436</v>
      </c>
      <c r="G47" s="405" t="s">
        <v>439</v>
      </c>
      <c r="H47" s="406">
        <f>3*(2*8185.67)</f>
        <v>49114.020000000004</v>
      </c>
      <c r="I47" s="407">
        <f>H47*12</f>
        <v>589368.24</v>
      </c>
    </row>
    <row r="48" spans="1:9">
      <c r="A48" s="515"/>
      <c r="B48" s="516"/>
      <c r="C48" s="517" t="s">
        <v>440</v>
      </c>
      <c r="D48" s="517"/>
      <c r="E48" s="517"/>
      <c r="F48" s="517"/>
      <c r="G48" s="517"/>
      <c r="H48" s="408">
        <f>H46+H47</f>
        <v>88549.200000000012</v>
      </c>
      <c r="I48" s="409">
        <f>I46+I47</f>
        <v>1062590.3999999999</v>
      </c>
    </row>
    <row r="49" spans="1:9">
      <c r="A49" s="509">
        <v>8</v>
      </c>
      <c r="B49" s="510" t="s">
        <v>449</v>
      </c>
      <c r="C49" s="399">
        <v>1</v>
      </c>
      <c r="D49" s="129" t="s">
        <v>435</v>
      </c>
      <c r="E49" s="129" t="s">
        <v>155</v>
      </c>
      <c r="F49" s="129" t="s">
        <v>436</v>
      </c>
      <c r="G49" s="129" t="s">
        <v>437</v>
      </c>
      <c r="H49" s="400">
        <f>2*5505.4</f>
        <v>11010.8</v>
      </c>
      <c r="I49" s="401">
        <f>H49*12</f>
        <v>132129.59999999998</v>
      </c>
    </row>
    <row r="50" spans="1:9">
      <c r="A50" s="509"/>
      <c r="B50" s="511"/>
      <c r="C50" s="399">
        <v>1</v>
      </c>
      <c r="D50" s="129" t="s">
        <v>438</v>
      </c>
      <c r="E50" s="129" t="s">
        <v>155</v>
      </c>
      <c r="F50" s="129" t="s">
        <v>436</v>
      </c>
      <c r="G50" s="129" t="s">
        <v>439</v>
      </c>
      <c r="H50" s="400">
        <f>2*6881.27</f>
        <v>13762.54</v>
      </c>
      <c r="I50" s="401">
        <f>H50*12</f>
        <v>165150.48000000001</v>
      </c>
    </row>
    <row r="51" spans="1:9">
      <c r="A51" s="509"/>
      <c r="B51" s="512"/>
      <c r="C51" s="513" t="s">
        <v>440</v>
      </c>
      <c r="D51" s="513"/>
      <c r="E51" s="513"/>
      <c r="F51" s="513"/>
      <c r="G51" s="513"/>
      <c r="H51" s="402">
        <f>H49+H50</f>
        <v>24773.34</v>
      </c>
      <c r="I51" s="403">
        <f>I49+I50</f>
        <v>297280.07999999996</v>
      </c>
    </row>
    <row r="52" spans="1:9">
      <c r="A52" s="509">
        <v>9</v>
      </c>
      <c r="B52" s="514" t="s">
        <v>450</v>
      </c>
      <c r="C52" s="399">
        <v>1</v>
      </c>
      <c r="D52" s="129" t="s">
        <v>447</v>
      </c>
      <c r="E52" s="129" t="s">
        <v>155</v>
      </c>
      <c r="F52" s="129" t="s">
        <v>436</v>
      </c>
      <c r="G52" s="129" t="s">
        <v>437</v>
      </c>
      <c r="H52" s="400">
        <f>2*6572.53</f>
        <v>13145.06</v>
      </c>
      <c r="I52" s="401">
        <f>H52*12</f>
        <v>157740.72</v>
      </c>
    </row>
    <row r="53" spans="1:9">
      <c r="A53" s="509"/>
      <c r="B53" s="514"/>
      <c r="C53" s="399">
        <v>1</v>
      </c>
      <c r="D53" s="129" t="s">
        <v>448</v>
      </c>
      <c r="E53" s="129" t="s">
        <v>155</v>
      </c>
      <c r="F53" s="129" t="s">
        <v>436</v>
      </c>
      <c r="G53" s="129" t="s">
        <v>439</v>
      </c>
      <c r="H53" s="400">
        <f>2*8185.67</f>
        <v>16371.34</v>
      </c>
      <c r="I53" s="401">
        <f>H53*12</f>
        <v>196456.08000000002</v>
      </c>
    </row>
    <row r="54" spans="1:9">
      <c r="A54" s="509"/>
      <c r="B54" s="514"/>
      <c r="C54" s="513" t="s">
        <v>440</v>
      </c>
      <c r="D54" s="513"/>
      <c r="E54" s="513"/>
      <c r="F54" s="513"/>
      <c r="G54" s="513"/>
      <c r="H54" s="402">
        <f>H52+H53</f>
        <v>29516.400000000001</v>
      </c>
      <c r="I54" s="403">
        <f>I52+I53</f>
        <v>354196.80000000005</v>
      </c>
    </row>
    <row r="55" spans="1:9" ht="15.75" thickBot="1">
      <c r="A55" s="506" t="s">
        <v>451</v>
      </c>
      <c r="B55" s="507"/>
      <c r="C55" s="507"/>
      <c r="D55" s="507"/>
      <c r="E55" s="507"/>
      <c r="F55" s="507"/>
      <c r="G55" s="507"/>
      <c r="H55" s="410">
        <f>H30+H33+H36+H39+H42+H45+H48+H51+H54</f>
        <v>291478.98000000004</v>
      </c>
      <c r="I55" s="411">
        <f>I30+I33+I36+I39+I42+I45+I48+I51+I54+1.12</f>
        <v>3497748.88</v>
      </c>
    </row>
    <row r="56" spans="1:9">
      <c r="A56" s="508" t="s">
        <v>452</v>
      </c>
      <c r="B56" s="508"/>
      <c r="C56">
        <v>7</v>
      </c>
    </row>
    <row r="57" spans="1:9">
      <c r="A57" s="508" t="s">
        <v>453</v>
      </c>
      <c r="B57" s="508"/>
      <c r="C57">
        <v>7</v>
      </c>
    </row>
    <row r="58" spans="1:9">
      <c r="A58" s="508" t="s">
        <v>454</v>
      </c>
      <c r="B58" s="508"/>
      <c r="C58">
        <f>C46+C52</f>
        <v>4</v>
      </c>
    </row>
    <row r="59" spans="1:9">
      <c r="A59" s="508" t="s">
        <v>455</v>
      </c>
      <c r="B59" s="508"/>
      <c r="C59">
        <f>C47+C53</f>
        <v>4</v>
      </c>
    </row>
  </sheetData>
  <mergeCells count="34">
    <mergeCell ref="B10:E10"/>
    <mergeCell ref="A26:I26"/>
    <mergeCell ref="A28:A30"/>
    <mergeCell ref="B28:B30"/>
    <mergeCell ref="C30:G30"/>
    <mergeCell ref="A31:A33"/>
    <mergeCell ref="B31:B33"/>
    <mergeCell ref="C33:G33"/>
    <mergeCell ref="A34:A36"/>
    <mergeCell ref="B34:B36"/>
    <mergeCell ref="C36:G36"/>
    <mergeCell ref="A37:A39"/>
    <mergeCell ref="B37:B39"/>
    <mergeCell ref="C39:G39"/>
    <mergeCell ref="A40:A42"/>
    <mergeCell ref="B40:B42"/>
    <mergeCell ref="C42:G42"/>
    <mergeCell ref="A43:A45"/>
    <mergeCell ref="B43:B45"/>
    <mergeCell ref="C45:G45"/>
    <mergeCell ref="A46:A48"/>
    <mergeCell ref="B46:B48"/>
    <mergeCell ref="C48:G48"/>
    <mergeCell ref="A49:A51"/>
    <mergeCell ref="B49:B51"/>
    <mergeCell ref="C51:G51"/>
    <mergeCell ref="A52:A54"/>
    <mergeCell ref="B52:B54"/>
    <mergeCell ref="C54:G54"/>
    <mergeCell ref="A55:G55"/>
    <mergeCell ref="A56:B56"/>
    <mergeCell ref="A57:B57"/>
    <mergeCell ref="A58:B58"/>
    <mergeCell ref="A59:B59"/>
  </mergeCells>
  <pageMargins left="0.51181102362204722" right="0.51181102362204722" top="0.78740157480314965" bottom="0.78740157480314965" header="0.31496062992125984" footer="0.31496062992125984"/>
  <pageSetup paperSize="9" scale="68" orientation="portrait" r:id="rId1"/>
  <drawing r:id="rId2"/>
  <legacyDrawing r:id="rId3"/>
  <oleObjects>
    <oleObject shapeId="2049" r:id="rId4"/>
  </oleObjects>
</worksheet>
</file>

<file path=xl/worksheets/sheet3.xml><?xml version="1.0" encoding="utf-8"?>
<worksheet xmlns="http://schemas.openxmlformats.org/spreadsheetml/2006/main" xmlns:r="http://schemas.openxmlformats.org/officeDocument/2006/relationships">
  <sheetPr>
    <pageSetUpPr fitToPage="1"/>
  </sheetPr>
  <dimension ref="B6:J51"/>
  <sheetViews>
    <sheetView workbookViewId="0">
      <selection activeCell="D71" sqref="D71"/>
    </sheetView>
  </sheetViews>
  <sheetFormatPr defaultRowHeight="15"/>
  <cols>
    <col min="2" max="2" width="19" customWidth="1"/>
    <col min="3" max="3" width="14.42578125" customWidth="1"/>
    <col min="4" max="6" width="13.28515625" bestFit="1" customWidth="1"/>
    <col min="9" max="9" width="9.5703125" bestFit="1" customWidth="1"/>
  </cols>
  <sheetData>
    <row r="6" spans="2:10">
      <c r="B6" s="318"/>
      <c r="C6" s="318"/>
      <c r="D6" s="318"/>
      <c r="E6" s="318"/>
      <c r="F6" s="318"/>
    </row>
    <row r="7" spans="2:10">
      <c r="B7" s="318"/>
      <c r="D7" s="319" t="s">
        <v>368</v>
      </c>
      <c r="E7" s="318"/>
      <c r="F7" s="318"/>
    </row>
    <row r="8" spans="2:10">
      <c r="B8" s="318"/>
      <c r="D8" s="320" t="s">
        <v>369</v>
      </c>
      <c r="E8" s="318"/>
      <c r="F8" s="318"/>
    </row>
    <row r="9" spans="2:10">
      <c r="B9" s="318"/>
      <c r="C9" s="318"/>
      <c r="D9" s="318"/>
      <c r="E9" s="318"/>
      <c r="F9" s="318"/>
    </row>
    <row r="10" spans="2:10">
      <c r="B10" s="545" t="s">
        <v>370</v>
      </c>
      <c r="C10" s="545"/>
      <c r="D10" s="545"/>
      <c r="E10" s="545"/>
      <c r="F10" s="545"/>
      <c r="G10" s="545"/>
      <c r="H10" s="545"/>
      <c r="I10" s="545"/>
      <c r="J10" s="545"/>
    </row>
    <row r="11" spans="2:10">
      <c r="C11" s="321"/>
    </row>
    <row r="12" spans="2:10">
      <c r="B12" s="543" t="s">
        <v>371</v>
      </c>
      <c r="C12" s="546"/>
      <c r="D12" s="546"/>
      <c r="E12" s="546"/>
      <c r="F12" s="546"/>
      <c r="G12" s="546"/>
      <c r="H12" s="547"/>
      <c r="I12" s="544">
        <v>1</v>
      </c>
      <c r="J12" s="540"/>
    </row>
    <row r="13" spans="2:10">
      <c r="C13" s="321"/>
    </row>
    <row r="14" spans="2:10">
      <c r="B14" s="322" t="s">
        <v>372</v>
      </c>
      <c r="C14" s="323"/>
      <c r="D14" s="324"/>
      <c r="E14" s="324"/>
      <c r="F14" s="324"/>
      <c r="G14" s="324"/>
      <c r="H14" s="325"/>
      <c r="I14" s="326"/>
      <c r="J14" s="325"/>
    </row>
    <row r="15" spans="2:10">
      <c r="C15" s="327" t="s">
        <v>373</v>
      </c>
      <c r="D15" s="324"/>
      <c r="E15" s="324"/>
      <c r="F15" s="324"/>
      <c r="G15" s="324"/>
      <c r="H15" s="325"/>
      <c r="I15" s="548">
        <v>21140</v>
      </c>
      <c r="J15" s="549"/>
    </row>
    <row r="16" spans="2:10">
      <c r="C16" s="327" t="s">
        <v>374</v>
      </c>
      <c r="D16" s="324"/>
      <c r="E16" s="324"/>
      <c r="F16" s="324"/>
      <c r="G16" s="324"/>
      <c r="H16" s="325"/>
      <c r="I16" s="544">
        <v>60</v>
      </c>
      <c r="J16" s="540"/>
    </row>
    <row r="17" spans="2:10">
      <c r="C17" s="327" t="s">
        <v>375</v>
      </c>
      <c r="D17" s="324"/>
      <c r="E17" s="324"/>
      <c r="F17" s="324"/>
      <c r="G17" s="324"/>
      <c r="H17" s="325"/>
      <c r="I17" s="544">
        <v>12</v>
      </c>
      <c r="J17" s="540"/>
    </row>
    <row r="18" spans="2:10">
      <c r="C18" s="327" t="s">
        <v>376</v>
      </c>
      <c r="D18" s="324"/>
      <c r="E18" s="324"/>
      <c r="F18" s="324"/>
      <c r="G18" s="324"/>
      <c r="H18" s="325"/>
      <c r="I18" s="550">
        <v>0.4</v>
      </c>
      <c r="J18" s="540"/>
    </row>
    <row r="19" spans="2:10">
      <c r="C19" s="327" t="s">
        <v>377</v>
      </c>
      <c r="D19" s="324"/>
      <c r="E19" s="324"/>
      <c r="F19" s="324"/>
      <c r="G19" s="324"/>
      <c r="H19" s="325"/>
      <c r="I19" s="537">
        <f>(I15-(I18*I15))/I17</f>
        <v>1057</v>
      </c>
      <c r="J19" s="538"/>
    </row>
    <row r="20" spans="2:10">
      <c r="B20" s="324"/>
      <c r="C20" s="321"/>
    </row>
    <row r="21" spans="2:10">
      <c r="B21" s="322" t="s">
        <v>378</v>
      </c>
      <c r="C21" s="323"/>
      <c r="D21" s="324"/>
      <c r="E21" s="324"/>
      <c r="F21" s="324"/>
      <c r="G21" s="324"/>
      <c r="H21" s="325"/>
      <c r="I21" s="544"/>
      <c r="J21" s="540"/>
    </row>
    <row r="22" spans="2:10">
      <c r="B22" s="325"/>
      <c r="C22" s="327" t="s">
        <v>379</v>
      </c>
      <c r="D22" s="324"/>
      <c r="E22" s="324"/>
      <c r="F22" s="324"/>
      <c r="G22" s="324"/>
      <c r="H22" s="325"/>
      <c r="I22" s="550">
        <v>0.1</v>
      </c>
      <c r="J22" s="540"/>
    </row>
    <row r="23" spans="2:10">
      <c r="B23" s="328"/>
      <c r="C23" s="329" t="s">
        <v>380</v>
      </c>
      <c r="D23" s="324"/>
      <c r="E23" s="324"/>
      <c r="F23" s="324"/>
      <c r="G23" s="324"/>
      <c r="H23" s="325"/>
      <c r="I23" s="537">
        <f>I22*I19</f>
        <v>105.7</v>
      </c>
      <c r="J23" s="538"/>
    </row>
    <row r="24" spans="2:10">
      <c r="B24" s="330"/>
      <c r="C24" s="321"/>
    </row>
    <row r="25" spans="2:10">
      <c r="B25" s="322" t="s">
        <v>381</v>
      </c>
      <c r="C25" s="323"/>
      <c r="D25" s="324"/>
      <c r="E25" s="324"/>
      <c r="F25" s="324"/>
      <c r="G25" s="324"/>
      <c r="H25" s="325"/>
      <c r="I25" s="544"/>
      <c r="J25" s="540"/>
    </row>
    <row r="26" spans="2:10">
      <c r="B26" s="331"/>
      <c r="C26" s="534" t="s">
        <v>382</v>
      </c>
      <c r="D26" s="535"/>
      <c r="E26" s="535"/>
      <c r="F26" s="535"/>
      <c r="G26" s="535"/>
      <c r="H26" s="536"/>
      <c r="I26" s="537">
        <f>C38</f>
        <v>1912.5</v>
      </c>
      <c r="J26" s="538"/>
    </row>
    <row r="27" spans="2:10">
      <c r="B27" s="331"/>
      <c r="C27" s="534" t="s">
        <v>383</v>
      </c>
      <c r="D27" s="535"/>
      <c r="E27" s="535"/>
      <c r="F27" s="535"/>
      <c r="G27" s="535"/>
      <c r="H27" s="536"/>
      <c r="I27" s="537">
        <f>H38</f>
        <v>157.5</v>
      </c>
      <c r="J27" s="538"/>
    </row>
    <row r="28" spans="2:10">
      <c r="B28" s="331"/>
      <c r="C28" s="543" t="s">
        <v>384</v>
      </c>
      <c r="D28" s="535"/>
      <c r="E28" s="535"/>
      <c r="F28" s="535"/>
      <c r="G28" s="535"/>
      <c r="H28" s="536"/>
      <c r="I28" s="537">
        <f>H45+C45</f>
        <v>232.49999999999997</v>
      </c>
      <c r="J28" s="538"/>
    </row>
    <row r="29" spans="2:10">
      <c r="B29" s="331"/>
      <c r="C29" s="534" t="s">
        <v>385</v>
      </c>
      <c r="D29" s="535"/>
      <c r="E29" s="535"/>
      <c r="F29" s="535"/>
      <c r="G29" s="535"/>
      <c r="H29" s="536"/>
      <c r="I29" s="537">
        <f>I26+I27+I28</f>
        <v>2302.5</v>
      </c>
      <c r="J29" s="538"/>
    </row>
    <row r="30" spans="2:10">
      <c r="B30" s="330"/>
      <c r="C30" s="321"/>
    </row>
    <row r="31" spans="2:10">
      <c r="B31" s="332" t="s">
        <v>386</v>
      </c>
      <c r="C31" s="349" t="s">
        <v>387</v>
      </c>
      <c r="D31" s="324"/>
      <c r="E31" s="324"/>
      <c r="F31" s="324"/>
      <c r="G31" s="324"/>
      <c r="H31" s="325"/>
      <c r="I31" s="539">
        <f>I19+I23+I29/I12</f>
        <v>3465.2</v>
      </c>
      <c r="J31" s="540"/>
    </row>
    <row r="32" spans="2:10">
      <c r="B32" s="333"/>
      <c r="C32" s="334"/>
      <c r="I32" s="541"/>
      <c r="J32" s="541"/>
    </row>
    <row r="33" spans="2:10">
      <c r="B33" s="333"/>
      <c r="C33" s="335" t="s">
        <v>388</v>
      </c>
      <c r="F33" s="333"/>
      <c r="G33" s="335" t="s">
        <v>389</v>
      </c>
      <c r="I33" s="336"/>
      <c r="J33" s="337"/>
    </row>
    <row r="34" spans="2:10">
      <c r="B34" s="333"/>
      <c r="C34" s="335"/>
      <c r="F34" s="333"/>
      <c r="G34" s="335"/>
      <c r="I34" s="336"/>
      <c r="J34" s="337"/>
    </row>
    <row r="35" spans="2:10">
      <c r="B35" s="333" t="s">
        <v>390</v>
      </c>
      <c r="C35" s="345">
        <v>4500</v>
      </c>
      <c r="E35" s="531" t="s">
        <v>391</v>
      </c>
      <c r="F35" s="531"/>
      <c r="H35" s="533">
        <v>1000</v>
      </c>
      <c r="I35" s="542"/>
      <c r="J35" s="337"/>
    </row>
    <row r="36" spans="2:10">
      <c r="B36" s="333" t="s">
        <v>392</v>
      </c>
      <c r="C36" s="338">
        <v>8.5</v>
      </c>
      <c r="E36" s="531" t="s">
        <v>393</v>
      </c>
      <c r="F36" s="531"/>
      <c r="H36" s="532">
        <v>35</v>
      </c>
      <c r="I36" s="532"/>
      <c r="J36" s="337"/>
    </row>
    <row r="37" spans="2:10">
      <c r="B37" s="333" t="s">
        <v>394</v>
      </c>
      <c r="C37" s="321">
        <v>20</v>
      </c>
      <c r="E37" s="333" t="s">
        <v>395</v>
      </c>
      <c r="F37" s="333"/>
      <c r="H37" s="339"/>
      <c r="I37" s="340">
        <v>4500</v>
      </c>
      <c r="J37" s="337"/>
    </row>
    <row r="38" spans="2:10">
      <c r="B38" s="333" t="s">
        <v>396</v>
      </c>
      <c r="C38" s="348">
        <f>(C35/C37)*C36</f>
        <v>1912.5</v>
      </c>
      <c r="E38" s="531" t="s">
        <v>396</v>
      </c>
      <c r="F38" s="531"/>
      <c r="H38" s="532">
        <f>(I37/H35)*H36</f>
        <v>157.5</v>
      </c>
      <c r="I38" s="532"/>
      <c r="J38" s="337"/>
    </row>
    <row r="39" spans="2:10">
      <c r="B39" s="333"/>
      <c r="C39" s="341"/>
      <c r="E39" s="342"/>
      <c r="F39" s="342"/>
      <c r="H39" s="338"/>
      <c r="I39" s="336"/>
      <c r="J39" s="337"/>
    </row>
    <row r="40" spans="2:10">
      <c r="B40" s="333"/>
      <c r="C40" s="335" t="s">
        <v>397</v>
      </c>
      <c r="E40" s="333"/>
      <c r="G40" s="335" t="s">
        <v>398</v>
      </c>
      <c r="I40" s="336"/>
      <c r="J40" s="337"/>
    </row>
    <row r="41" spans="2:10">
      <c r="B41" s="333" t="s">
        <v>400</v>
      </c>
      <c r="C41" s="347">
        <v>12</v>
      </c>
      <c r="E41" s="333" t="s">
        <v>400</v>
      </c>
      <c r="G41" s="335"/>
      <c r="I41" s="336">
        <v>12</v>
      </c>
      <c r="J41" s="337"/>
    </row>
    <row r="42" spans="2:10">
      <c r="B42" s="333" t="s">
        <v>391</v>
      </c>
      <c r="C42" s="343">
        <v>15000</v>
      </c>
      <c r="E42" s="333" t="s">
        <v>391</v>
      </c>
      <c r="H42" s="533">
        <v>10000</v>
      </c>
      <c r="I42" s="533"/>
      <c r="J42" s="337"/>
    </row>
    <row r="43" spans="2:10">
      <c r="B43" s="333" t="s">
        <v>399</v>
      </c>
      <c r="C43" s="338">
        <v>400</v>
      </c>
      <c r="E43" s="333" t="s">
        <v>399</v>
      </c>
      <c r="H43" s="532">
        <v>250</v>
      </c>
      <c r="I43" s="532"/>
      <c r="J43" s="337"/>
    </row>
    <row r="44" spans="2:10">
      <c r="B44" s="344" t="s">
        <v>395</v>
      </c>
      <c r="C44" s="345">
        <v>4500</v>
      </c>
      <c r="E44" s="344" t="s">
        <v>395</v>
      </c>
      <c r="H44" s="529">
        <v>4500</v>
      </c>
      <c r="I44" s="529"/>
      <c r="J44" s="337"/>
    </row>
    <row r="45" spans="2:10">
      <c r="B45" s="333" t="s">
        <v>396</v>
      </c>
      <c r="C45" s="346">
        <f>C41/(C42/C44)*C43/C41</f>
        <v>119.99999999999999</v>
      </c>
      <c r="E45" s="333" t="s">
        <v>396</v>
      </c>
      <c r="H45" s="530">
        <f>I41/(H42/H44)*H43/I41</f>
        <v>112.49999999999999</v>
      </c>
      <c r="I45" s="530"/>
      <c r="J45" s="337"/>
    </row>
    <row r="50" spans="2:6">
      <c r="B50" s="350" t="s">
        <v>401</v>
      </c>
      <c r="C50" s="350" t="s">
        <v>402</v>
      </c>
      <c r="D50" s="350" t="s">
        <v>404</v>
      </c>
      <c r="E50" s="350" t="s">
        <v>403</v>
      </c>
      <c r="F50" s="350" t="s">
        <v>405</v>
      </c>
    </row>
    <row r="51" spans="2:6">
      <c r="C51" s="351">
        <v>21990</v>
      </c>
      <c r="D51" s="351">
        <v>19940</v>
      </c>
      <c r="E51" s="351">
        <v>21490</v>
      </c>
      <c r="F51" s="351">
        <f>(C51+D51+E51)/3</f>
        <v>21140</v>
      </c>
    </row>
  </sheetData>
  <mergeCells count="32">
    <mergeCell ref="I25:J25"/>
    <mergeCell ref="B10:J10"/>
    <mergeCell ref="B12:H12"/>
    <mergeCell ref="I12:J12"/>
    <mergeCell ref="I15:J15"/>
    <mergeCell ref="I16:J16"/>
    <mergeCell ref="I17:J17"/>
    <mergeCell ref="I18:J18"/>
    <mergeCell ref="I19:J19"/>
    <mergeCell ref="I21:J21"/>
    <mergeCell ref="I22:J22"/>
    <mergeCell ref="I23:J23"/>
    <mergeCell ref="C26:H26"/>
    <mergeCell ref="I26:J26"/>
    <mergeCell ref="C27:H27"/>
    <mergeCell ref="I27:J27"/>
    <mergeCell ref="C28:H28"/>
    <mergeCell ref="I28:J28"/>
    <mergeCell ref="C29:H29"/>
    <mergeCell ref="I29:J29"/>
    <mergeCell ref="I31:J31"/>
    <mergeCell ref="I32:J32"/>
    <mergeCell ref="E35:F35"/>
    <mergeCell ref="H35:I35"/>
    <mergeCell ref="H44:I44"/>
    <mergeCell ref="H45:I45"/>
    <mergeCell ref="E36:F36"/>
    <mergeCell ref="H36:I36"/>
    <mergeCell ref="E38:F38"/>
    <mergeCell ref="H38:I38"/>
    <mergeCell ref="H42:I42"/>
    <mergeCell ref="H43:I43"/>
  </mergeCells>
  <pageMargins left="0.51181102362204722" right="0.51181102362204722" top="0.78740157480314965" bottom="0.78740157480314965" header="0.31496062992125984" footer="0.31496062992125984"/>
  <pageSetup paperSize="9" scale="77" orientation="portrait" r:id="rId1"/>
  <legacyDrawing r:id="rId2"/>
  <oleObjects>
    <oleObject progId="MSPhotoEd.3" shapeId="3073" r:id="rId3"/>
  </oleObjects>
</worksheet>
</file>

<file path=xl/worksheets/sheet4.xml><?xml version="1.0" encoding="utf-8"?>
<worksheet xmlns="http://schemas.openxmlformats.org/spreadsheetml/2006/main" xmlns:r="http://schemas.openxmlformats.org/officeDocument/2006/relationships">
  <sheetPr>
    <pageSetUpPr fitToPage="1"/>
  </sheetPr>
  <dimension ref="B2:F28"/>
  <sheetViews>
    <sheetView workbookViewId="0">
      <selection activeCell="D71" sqref="D71"/>
    </sheetView>
  </sheetViews>
  <sheetFormatPr defaultRowHeight="15"/>
  <cols>
    <col min="2" max="2" width="62.5703125" customWidth="1"/>
    <col min="3" max="5" width="10.7109375" bestFit="1" customWidth="1"/>
    <col min="6" max="6" width="12" bestFit="1" customWidth="1"/>
  </cols>
  <sheetData>
    <row r="2" spans="2:6" ht="15.75" thickBot="1"/>
    <row r="3" spans="2:6">
      <c r="B3" s="412" t="s">
        <v>456</v>
      </c>
      <c r="C3" s="413" t="s">
        <v>457</v>
      </c>
      <c r="D3" s="413" t="s">
        <v>458</v>
      </c>
      <c r="E3" s="413" t="s">
        <v>459</v>
      </c>
      <c r="F3" s="414" t="s">
        <v>405</v>
      </c>
    </row>
    <row r="4" spans="2:6">
      <c r="B4" s="415" t="s">
        <v>460</v>
      </c>
      <c r="C4" s="188">
        <v>99.99</v>
      </c>
      <c r="D4" s="188">
        <v>99.99</v>
      </c>
      <c r="E4" s="188">
        <v>85</v>
      </c>
      <c r="F4" s="416">
        <f t="shared" ref="F4:F11" si="0">AVERAGE(C4:E4)</f>
        <v>94.993333333333339</v>
      </c>
    </row>
    <row r="5" spans="2:6">
      <c r="B5" s="415" t="s">
        <v>461</v>
      </c>
      <c r="C5" s="188">
        <v>42</v>
      </c>
      <c r="D5" s="188">
        <v>59.9</v>
      </c>
      <c r="E5" s="188">
        <v>69</v>
      </c>
      <c r="F5" s="416">
        <f t="shared" si="0"/>
        <v>56.966666666666669</v>
      </c>
    </row>
    <row r="6" spans="2:6">
      <c r="B6" s="415" t="s">
        <v>201</v>
      </c>
      <c r="C6" s="188">
        <v>139.9</v>
      </c>
      <c r="D6" s="188">
        <v>159.9</v>
      </c>
      <c r="E6" s="188">
        <v>99.99</v>
      </c>
      <c r="F6" s="416">
        <f t="shared" si="0"/>
        <v>133.26333333333335</v>
      </c>
    </row>
    <row r="7" spans="2:6">
      <c r="B7" s="415" t="s">
        <v>462</v>
      </c>
      <c r="C7" s="188">
        <v>70</v>
      </c>
      <c r="D7" s="188">
        <v>90</v>
      </c>
      <c r="E7" s="188">
        <v>59.99</v>
      </c>
      <c r="F7" s="416">
        <f t="shared" si="0"/>
        <v>73.33</v>
      </c>
    </row>
    <row r="8" spans="2:6">
      <c r="B8" s="415" t="s">
        <v>463</v>
      </c>
      <c r="C8" s="188">
        <v>99.9</v>
      </c>
      <c r="D8" s="188">
        <v>159</v>
      </c>
      <c r="E8" s="188">
        <v>89.9</v>
      </c>
      <c r="F8" s="416">
        <f t="shared" si="0"/>
        <v>116.26666666666665</v>
      </c>
    </row>
    <row r="9" spans="2:6">
      <c r="B9" s="417" t="s">
        <v>464</v>
      </c>
      <c r="C9" s="188">
        <v>12.94</v>
      </c>
      <c r="D9" s="188">
        <v>10.17</v>
      </c>
      <c r="E9" s="188">
        <v>15.3</v>
      </c>
      <c r="F9" s="416">
        <f t="shared" si="0"/>
        <v>12.803333333333333</v>
      </c>
    </row>
    <row r="10" spans="2:6">
      <c r="B10" s="415" t="s">
        <v>205</v>
      </c>
      <c r="C10" s="188">
        <v>229.9</v>
      </c>
      <c r="D10" s="188">
        <v>199.9</v>
      </c>
      <c r="E10" s="188">
        <v>179.99</v>
      </c>
      <c r="F10" s="416">
        <f t="shared" si="0"/>
        <v>203.26333333333332</v>
      </c>
    </row>
    <row r="11" spans="2:6" ht="15.75" thickBot="1">
      <c r="B11" s="418" t="s">
        <v>465</v>
      </c>
      <c r="C11" s="419">
        <v>29</v>
      </c>
      <c r="D11" s="419">
        <v>17</v>
      </c>
      <c r="E11" s="419">
        <v>20</v>
      </c>
      <c r="F11" s="420">
        <f t="shared" si="0"/>
        <v>22</v>
      </c>
    </row>
    <row r="12" spans="2:6">
      <c r="B12" s="421"/>
      <c r="C12" s="422"/>
      <c r="D12" s="422"/>
      <c r="E12" s="422"/>
      <c r="F12" s="422"/>
    </row>
    <row r="13" spans="2:6" ht="15.75" thickBot="1">
      <c r="B13" s="422"/>
      <c r="C13" s="422"/>
      <c r="D13" s="422"/>
      <c r="E13" s="422"/>
      <c r="F13" s="422"/>
    </row>
    <row r="14" spans="2:6">
      <c r="B14" s="412" t="s">
        <v>466</v>
      </c>
      <c r="C14" s="413" t="s">
        <v>457</v>
      </c>
      <c r="D14" s="413" t="s">
        <v>458</v>
      </c>
      <c r="E14" s="413" t="s">
        <v>459</v>
      </c>
      <c r="F14" s="414" t="s">
        <v>405</v>
      </c>
    </row>
    <row r="15" spans="2:6">
      <c r="B15" s="423" t="s">
        <v>467</v>
      </c>
      <c r="C15" s="424">
        <v>5890</v>
      </c>
      <c r="D15" s="424">
        <v>5139.8999999999996</v>
      </c>
      <c r="E15" s="424">
        <v>4708.75</v>
      </c>
      <c r="F15" s="425">
        <v>5246.2166666666699</v>
      </c>
    </row>
    <row r="16" spans="2:6">
      <c r="B16" s="423" t="s">
        <v>468</v>
      </c>
      <c r="C16" s="424">
        <v>197.5</v>
      </c>
      <c r="D16" s="424">
        <v>133</v>
      </c>
      <c r="E16" s="424">
        <v>99.9</v>
      </c>
      <c r="F16" s="425">
        <v>143.46666666666701</v>
      </c>
    </row>
    <row r="17" spans="2:6">
      <c r="B17" s="423" t="s">
        <v>469</v>
      </c>
      <c r="C17" s="424">
        <v>398.9</v>
      </c>
      <c r="D17" s="424">
        <v>229.99</v>
      </c>
      <c r="E17" s="424">
        <v>230</v>
      </c>
      <c r="F17" s="425">
        <v>286.29666666666702</v>
      </c>
    </row>
    <row r="18" spans="2:6">
      <c r="B18" s="423" t="s">
        <v>470</v>
      </c>
      <c r="C18" s="424">
        <v>24.55</v>
      </c>
      <c r="D18" s="424">
        <v>27.3</v>
      </c>
      <c r="E18" s="424">
        <v>22.9</v>
      </c>
      <c r="F18" s="425">
        <v>24.9166666666667</v>
      </c>
    </row>
    <row r="19" spans="2:6">
      <c r="B19" s="423" t="s">
        <v>471</v>
      </c>
      <c r="C19" s="424">
        <v>35</v>
      </c>
      <c r="D19" s="424">
        <v>34.49</v>
      </c>
      <c r="E19" s="424">
        <v>34</v>
      </c>
      <c r="F19" s="425">
        <v>34.496666666666698</v>
      </c>
    </row>
    <row r="20" spans="2:6">
      <c r="B20" s="423" t="s">
        <v>472</v>
      </c>
      <c r="C20" s="424">
        <v>39.9</v>
      </c>
      <c r="D20" s="424">
        <v>37.24</v>
      </c>
      <c r="E20" s="424">
        <v>29.89</v>
      </c>
      <c r="F20" s="425">
        <v>35.676666666666698</v>
      </c>
    </row>
    <row r="21" spans="2:6">
      <c r="B21" s="426" t="s">
        <v>473</v>
      </c>
      <c r="C21" s="187">
        <v>78.989999999999995</v>
      </c>
      <c r="D21" s="187">
        <v>120</v>
      </c>
      <c r="E21" s="187">
        <v>185</v>
      </c>
      <c r="F21" s="427">
        <f t="shared" ref="F21:F28" si="1">AVERAGE(C21:E21)</f>
        <v>127.99666666666667</v>
      </c>
    </row>
    <row r="22" spans="2:6" ht="25.5">
      <c r="B22" s="426" t="s">
        <v>474</v>
      </c>
      <c r="C22" s="424">
        <v>801.86</v>
      </c>
      <c r="D22" s="424">
        <v>899</v>
      </c>
      <c r="E22" s="424">
        <v>611.1</v>
      </c>
      <c r="F22" s="427">
        <f t="shared" si="1"/>
        <v>770.65333333333331</v>
      </c>
    </row>
    <row r="23" spans="2:6" ht="25.5">
      <c r="B23" s="426" t="s">
        <v>475</v>
      </c>
      <c r="C23" s="424">
        <v>799</v>
      </c>
      <c r="D23" s="424">
        <v>799</v>
      </c>
      <c r="E23" s="424">
        <v>638</v>
      </c>
      <c r="F23" s="428">
        <f t="shared" si="1"/>
        <v>745.33333333333337</v>
      </c>
    </row>
    <row r="24" spans="2:6" ht="25.5">
      <c r="B24" s="426" t="s">
        <v>476</v>
      </c>
      <c r="C24" s="424">
        <v>919</v>
      </c>
      <c r="D24" s="424">
        <v>1480</v>
      </c>
      <c r="E24" s="424">
        <v>1116.5</v>
      </c>
      <c r="F24" s="428">
        <f t="shared" si="1"/>
        <v>1171.8333333333333</v>
      </c>
    </row>
    <row r="25" spans="2:6">
      <c r="B25" s="426" t="s">
        <v>477</v>
      </c>
      <c r="C25" s="188">
        <v>499</v>
      </c>
      <c r="D25" s="188">
        <v>499</v>
      </c>
      <c r="E25" s="188">
        <v>369</v>
      </c>
      <c r="F25" s="416">
        <f t="shared" si="1"/>
        <v>455.66666666666669</v>
      </c>
    </row>
    <row r="26" spans="2:6" ht="38.25">
      <c r="B26" s="429" t="s">
        <v>478</v>
      </c>
      <c r="C26" s="188">
        <v>21.42</v>
      </c>
      <c r="D26" s="188">
        <v>28.9</v>
      </c>
      <c r="E26" s="188">
        <v>29.99</v>
      </c>
      <c r="F26" s="416">
        <f t="shared" si="1"/>
        <v>26.77</v>
      </c>
    </row>
    <row r="27" spans="2:6">
      <c r="B27" s="426" t="s">
        <v>479</v>
      </c>
      <c r="C27" s="188">
        <v>122</v>
      </c>
      <c r="D27" s="188">
        <v>60</v>
      </c>
      <c r="E27" s="188">
        <v>45</v>
      </c>
      <c r="F27" s="416">
        <f t="shared" si="1"/>
        <v>75.666666666666671</v>
      </c>
    </row>
    <row r="28" spans="2:6" ht="26.25" thickBot="1">
      <c r="B28" s="430" t="s">
        <v>480</v>
      </c>
      <c r="C28" s="419">
        <v>14.85</v>
      </c>
      <c r="D28" s="419">
        <v>14.69</v>
      </c>
      <c r="E28" s="419">
        <v>15</v>
      </c>
      <c r="F28" s="420">
        <f t="shared" si="1"/>
        <v>14.846666666666666</v>
      </c>
    </row>
  </sheetData>
  <pageMargins left="0.51181102362204722" right="0.51181102362204722" top="0.78740157480314965" bottom="0.78740157480314965" header="0.31496062992125984" footer="0.31496062992125984"/>
  <pageSetup paperSize="9" scale="79" orientation="portrait" r:id="rId1"/>
</worksheet>
</file>

<file path=xl/worksheets/sheet5.xml><?xml version="1.0" encoding="utf-8"?>
<worksheet xmlns="http://schemas.openxmlformats.org/spreadsheetml/2006/main" xmlns:r="http://schemas.openxmlformats.org/officeDocument/2006/relationships">
  <dimension ref="A1:D136"/>
  <sheetViews>
    <sheetView showGridLines="0" view="pageBreakPreview" zoomScale="60" zoomScaleNormal="115" workbookViewId="0">
      <selection activeCell="Y22" sqref="Y22"/>
    </sheetView>
  </sheetViews>
  <sheetFormatPr defaultColWidth="9.140625" defaultRowHeight="15.75"/>
  <cols>
    <col min="1" max="1" width="9.140625" style="1"/>
    <col min="2" max="2" width="72.140625" style="1" customWidth="1"/>
    <col min="3" max="3" width="18" style="1" customWidth="1"/>
    <col min="4" max="4" width="14.28515625" style="1" customWidth="1"/>
    <col min="5" max="5" width="12.7109375" style="1" customWidth="1"/>
    <col min="6" max="6" width="12" style="1" customWidth="1"/>
    <col min="7" max="7" width="15.140625" style="1" customWidth="1"/>
    <col min="8" max="16384" width="9.140625" style="1"/>
  </cols>
  <sheetData>
    <row r="1" spans="1:4" ht="23.25">
      <c r="A1" s="431" t="s">
        <v>362</v>
      </c>
      <c r="B1" s="431"/>
      <c r="C1" s="431"/>
      <c r="D1" s="431"/>
    </row>
    <row r="2" spans="1:4" ht="23.25">
      <c r="A2" s="431" t="s">
        <v>270</v>
      </c>
      <c r="B2" s="431"/>
      <c r="C2" s="431"/>
      <c r="D2" s="431"/>
    </row>
    <row r="3" spans="1:4">
      <c r="A3" s="551" t="s">
        <v>271</v>
      </c>
      <c r="B3" s="551"/>
      <c r="C3" s="551"/>
      <c r="D3" s="551"/>
    </row>
    <row r="6" spans="1:4">
      <c r="A6" s="552" t="s">
        <v>272</v>
      </c>
      <c r="B6" s="552"/>
      <c r="C6" s="552"/>
    </row>
    <row r="8" spans="1:4">
      <c r="A8" s="2">
        <v>1</v>
      </c>
      <c r="B8" s="3" t="s">
        <v>273</v>
      </c>
      <c r="C8" s="3" t="s">
        <v>274</v>
      </c>
    </row>
    <row r="9" spans="1:4">
      <c r="A9" s="4" t="s">
        <v>275</v>
      </c>
      <c r="B9" s="5" t="s">
        <v>276</v>
      </c>
      <c r="C9" s="6"/>
    </row>
    <row r="10" spans="1:4">
      <c r="A10" s="4" t="s">
        <v>277</v>
      </c>
      <c r="B10" s="5" t="s">
        <v>278</v>
      </c>
      <c r="C10" s="6"/>
    </row>
    <row r="11" spans="1:4">
      <c r="A11" s="4" t="s">
        <v>279</v>
      </c>
      <c r="B11" s="5" t="s">
        <v>280</v>
      </c>
      <c r="C11" s="6"/>
    </row>
    <row r="12" spans="1:4">
      <c r="A12" s="4" t="s">
        <v>281</v>
      </c>
      <c r="B12" s="5" t="s">
        <v>32</v>
      </c>
      <c r="C12" s="6"/>
    </row>
    <row r="13" spans="1:4" ht="16.5" thickBot="1">
      <c r="A13" s="4" t="s">
        <v>282</v>
      </c>
      <c r="B13" s="5" t="s">
        <v>283</v>
      </c>
      <c r="C13" s="6"/>
    </row>
    <row r="14" spans="1:4" ht="16.5" thickBot="1">
      <c r="A14" s="4" t="s">
        <v>284</v>
      </c>
      <c r="B14" s="5" t="s">
        <v>285</v>
      </c>
      <c r="C14" s="6"/>
    </row>
    <row r="15" spans="1:4">
      <c r="A15" s="553" t="s">
        <v>44</v>
      </c>
      <c r="B15" s="554"/>
      <c r="C15" s="6"/>
    </row>
    <row r="18" spans="1:4">
      <c r="A18" s="555" t="s">
        <v>286</v>
      </c>
      <c r="B18" s="555"/>
      <c r="C18" s="555"/>
    </row>
    <row r="19" spans="1:4">
      <c r="A19" s="7"/>
    </row>
    <row r="20" spans="1:4">
      <c r="A20" s="556" t="s">
        <v>287</v>
      </c>
      <c r="B20" s="556"/>
      <c r="C20" s="556"/>
    </row>
    <row r="22" spans="1:4">
      <c r="A22" s="2" t="s">
        <v>288</v>
      </c>
      <c r="B22" s="3" t="s">
        <v>289</v>
      </c>
      <c r="C22" s="3" t="s">
        <v>274</v>
      </c>
    </row>
    <row r="23" spans="1:4">
      <c r="A23" s="4" t="s">
        <v>275</v>
      </c>
      <c r="B23" s="5" t="s">
        <v>290</v>
      </c>
      <c r="C23" s="6"/>
    </row>
    <row r="24" spans="1:4">
      <c r="A24" s="4" t="s">
        <v>277</v>
      </c>
      <c r="B24" s="5" t="s">
        <v>291</v>
      </c>
      <c r="C24" s="6"/>
    </row>
    <row r="25" spans="1:4">
      <c r="A25" s="553" t="s">
        <v>44</v>
      </c>
      <c r="B25" s="554"/>
      <c r="C25" s="6"/>
    </row>
    <row r="28" spans="1:4" ht="32.25" customHeight="1">
      <c r="A28" s="557" t="s">
        <v>292</v>
      </c>
      <c r="B28" s="557"/>
      <c r="C28" s="557"/>
      <c r="D28" s="557"/>
    </row>
    <row r="30" spans="1:4">
      <c r="A30" s="2" t="s">
        <v>293</v>
      </c>
      <c r="B30" s="3" t="s">
        <v>294</v>
      </c>
      <c r="C30" s="3" t="s">
        <v>295</v>
      </c>
      <c r="D30" s="3" t="s">
        <v>274</v>
      </c>
    </row>
    <row r="31" spans="1:4">
      <c r="A31" s="4" t="s">
        <v>275</v>
      </c>
      <c r="B31" s="5" t="s">
        <v>296</v>
      </c>
      <c r="C31" s="8">
        <v>0.2</v>
      </c>
      <c r="D31" s="9"/>
    </row>
    <row r="32" spans="1:4">
      <c r="A32" s="4" t="s">
        <v>277</v>
      </c>
      <c r="B32" s="5" t="s">
        <v>297</v>
      </c>
      <c r="C32" s="8">
        <v>2.5000000000000001E-2</v>
      </c>
      <c r="D32" s="9"/>
    </row>
    <row r="33" spans="1:4">
      <c r="A33" s="4" t="s">
        <v>279</v>
      </c>
      <c r="B33" s="5" t="s">
        <v>298</v>
      </c>
      <c r="C33" s="10"/>
      <c r="D33" s="9"/>
    </row>
    <row r="34" spans="1:4">
      <c r="A34" s="4" t="s">
        <v>281</v>
      </c>
      <c r="B34" s="5" t="s">
        <v>299</v>
      </c>
      <c r="C34" s="8">
        <v>1.4999999999999999E-2</v>
      </c>
      <c r="D34" s="9"/>
    </row>
    <row r="35" spans="1:4">
      <c r="A35" s="4" t="s">
        <v>282</v>
      </c>
      <c r="B35" s="5" t="s">
        <v>300</v>
      </c>
      <c r="C35" s="8">
        <v>0.01</v>
      </c>
      <c r="D35" s="9"/>
    </row>
    <row r="36" spans="1:4">
      <c r="A36" s="4" t="s">
        <v>301</v>
      </c>
      <c r="B36" s="5" t="s">
        <v>72</v>
      </c>
      <c r="C36" s="8">
        <v>6.0000000000000001E-3</v>
      </c>
      <c r="D36" s="9"/>
    </row>
    <row r="37" spans="1:4">
      <c r="A37" s="4" t="s">
        <v>284</v>
      </c>
      <c r="B37" s="5" t="s">
        <v>73</v>
      </c>
      <c r="C37" s="8">
        <v>2E-3</v>
      </c>
      <c r="D37" s="9"/>
    </row>
    <row r="38" spans="1:4">
      <c r="A38" s="4" t="s">
        <v>302</v>
      </c>
      <c r="B38" s="5" t="s">
        <v>74</v>
      </c>
      <c r="C38" s="8">
        <v>0.08</v>
      </c>
      <c r="D38" s="9"/>
    </row>
    <row r="39" spans="1:4">
      <c r="A39" s="553" t="s">
        <v>303</v>
      </c>
      <c r="B39" s="554"/>
      <c r="C39" s="9"/>
      <c r="D39" s="11"/>
    </row>
    <row r="42" spans="1:4">
      <c r="A42" s="556" t="s">
        <v>304</v>
      </c>
      <c r="B42" s="556"/>
      <c r="C42" s="556"/>
    </row>
    <row r="44" spans="1:4">
      <c r="A44" s="2" t="s">
        <v>305</v>
      </c>
      <c r="B44" s="3" t="s">
        <v>306</v>
      </c>
      <c r="C44" s="3" t="s">
        <v>274</v>
      </c>
    </row>
    <row r="45" spans="1:4">
      <c r="A45" s="4" t="s">
        <v>275</v>
      </c>
      <c r="B45" s="5" t="s">
        <v>307</v>
      </c>
      <c r="C45" s="6"/>
    </row>
    <row r="46" spans="1:4">
      <c r="A46" s="4" t="s">
        <v>277</v>
      </c>
      <c r="B46" s="5" t="s">
        <v>308</v>
      </c>
      <c r="C46" s="6"/>
    </row>
    <row r="47" spans="1:4">
      <c r="A47" s="4" t="s">
        <v>279</v>
      </c>
      <c r="B47" s="5" t="s">
        <v>309</v>
      </c>
      <c r="C47" s="6"/>
    </row>
    <row r="48" spans="1:4">
      <c r="A48" s="4" t="s">
        <v>281</v>
      </c>
      <c r="B48" s="5" t="s">
        <v>310</v>
      </c>
      <c r="C48" s="6"/>
    </row>
    <row r="49" spans="1:3">
      <c r="A49" s="4" t="s">
        <v>282</v>
      </c>
      <c r="B49" s="5" t="s">
        <v>311</v>
      </c>
      <c r="C49" s="6"/>
    </row>
    <row r="50" spans="1:3">
      <c r="A50" s="4"/>
      <c r="B50" s="5" t="s">
        <v>312</v>
      </c>
      <c r="C50" s="6"/>
    </row>
    <row r="51" spans="1:3">
      <c r="A51" s="553" t="s">
        <v>44</v>
      </c>
      <c r="B51" s="554"/>
      <c r="C51" s="6"/>
    </row>
    <row r="54" spans="1:3">
      <c r="A54" s="556" t="s">
        <v>313</v>
      </c>
      <c r="B54" s="556"/>
      <c r="C54" s="556"/>
    </row>
    <row r="56" spans="1:3">
      <c r="A56" s="2">
        <v>2</v>
      </c>
      <c r="B56" s="3" t="s">
        <v>314</v>
      </c>
      <c r="C56" s="3" t="s">
        <v>274</v>
      </c>
    </row>
    <row r="57" spans="1:3">
      <c r="A57" s="4" t="s">
        <v>288</v>
      </c>
      <c r="B57" s="5" t="s">
        <v>289</v>
      </c>
      <c r="C57" s="6"/>
    </row>
    <row r="58" spans="1:3">
      <c r="A58" s="4" t="s">
        <v>293</v>
      </c>
      <c r="B58" s="5" t="s">
        <v>294</v>
      </c>
      <c r="C58" s="6"/>
    </row>
    <row r="59" spans="1:3">
      <c r="A59" s="4" t="s">
        <v>305</v>
      </c>
      <c r="B59" s="5" t="s">
        <v>306</v>
      </c>
      <c r="C59" s="6"/>
    </row>
    <row r="60" spans="1:3">
      <c r="A60" s="553" t="s">
        <v>44</v>
      </c>
      <c r="B60" s="554"/>
      <c r="C60" s="6"/>
    </row>
    <row r="61" spans="1:3">
      <c r="A61" s="12"/>
    </row>
    <row r="63" spans="1:3">
      <c r="A63" s="555" t="s">
        <v>315</v>
      </c>
      <c r="B63" s="555"/>
      <c r="C63" s="555"/>
    </row>
    <row r="65" spans="1:3">
      <c r="A65" s="2">
        <v>3</v>
      </c>
      <c r="B65" s="3" t="s">
        <v>316</v>
      </c>
      <c r="C65" s="3" t="s">
        <v>274</v>
      </c>
    </row>
    <row r="66" spans="1:3">
      <c r="A66" s="4" t="s">
        <v>275</v>
      </c>
      <c r="B66" s="13" t="s">
        <v>317</v>
      </c>
      <c r="C66" s="6"/>
    </row>
    <row r="67" spans="1:3">
      <c r="A67" s="4" t="s">
        <v>277</v>
      </c>
      <c r="B67" s="13" t="s">
        <v>318</v>
      </c>
      <c r="C67" s="6"/>
    </row>
    <row r="68" spans="1:3">
      <c r="A68" s="4" t="s">
        <v>279</v>
      </c>
      <c r="B68" s="13" t="s">
        <v>319</v>
      </c>
      <c r="C68" s="6"/>
    </row>
    <row r="69" spans="1:3">
      <c r="A69" s="4" t="s">
        <v>281</v>
      </c>
      <c r="B69" s="13" t="s">
        <v>320</v>
      </c>
      <c r="C69" s="6"/>
    </row>
    <row r="70" spans="1:3">
      <c r="A70" s="4" t="s">
        <v>282</v>
      </c>
      <c r="B70" s="13" t="s">
        <v>321</v>
      </c>
      <c r="C70" s="6"/>
    </row>
    <row r="71" spans="1:3">
      <c r="A71" s="4" t="s">
        <v>301</v>
      </c>
      <c r="B71" s="13" t="s">
        <v>322</v>
      </c>
      <c r="C71" s="6"/>
    </row>
    <row r="72" spans="1:3">
      <c r="A72" s="553" t="s">
        <v>44</v>
      </c>
      <c r="B72" s="554"/>
      <c r="C72" s="6"/>
    </row>
    <row r="75" spans="1:3">
      <c r="A75" s="555" t="s">
        <v>323</v>
      </c>
      <c r="B75" s="555"/>
      <c r="C75" s="555"/>
    </row>
    <row r="78" spans="1:3">
      <c r="A78" s="556" t="s">
        <v>324</v>
      </c>
      <c r="B78" s="556"/>
      <c r="C78" s="556"/>
    </row>
    <row r="79" spans="1:3">
      <c r="A79" s="7"/>
    </row>
    <row r="80" spans="1:3">
      <c r="A80" s="2" t="s">
        <v>325</v>
      </c>
      <c r="B80" s="3" t="s">
        <v>326</v>
      </c>
      <c r="C80" s="3" t="s">
        <v>274</v>
      </c>
    </row>
    <row r="81" spans="1:3">
      <c r="A81" s="4" t="s">
        <v>275</v>
      </c>
      <c r="B81" s="5" t="s">
        <v>159</v>
      </c>
      <c r="C81" s="6"/>
    </row>
    <row r="82" spans="1:3">
      <c r="A82" s="4" t="s">
        <v>277</v>
      </c>
      <c r="B82" s="5" t="s">
        <v>327</v>
      </c>
      <c r="C82" s="6"/>
    </row>
    <row r="83" spans="1:3">
      <c r="A83" s="4" t="s">
        <v>279</v>
      </c>
      <c r="B83" s="5" t="s">
        <v>328</v>
      </c>
      <c r="C83" s="6"/>
    </row>
    <row r="84" spans="1:3">
      <c r="A84" s="4" t="s">
        <v>281</v>
      </c>
      <c r="B84" s="5" t="s">
        <v>329</v>
      </c>
      <c r="C84" s="6"/>
    </row>
    <row r="85" spans="1:3">
      <c r="A85" s="4" t="s">
        <v>282</v>
      </c>
      <c r="B85" s="5" t="s">
        <v>285</v>
      </c>
      <c r="C85" s="6"/>
    </row>
    <row r="86" spans="1:3">
      <c r="A86" s="553" t="s">
        <v>303</v>
      </c>
      <c r="B86" s="554"/>
      <c r="C86" s="6"/>
    </row>
    <row r="89" spans="1:3">
      <c r="A89" s="556" t="s">
        <v>330</v>
      </c>
      <c r="B89" s="556"/>
      <c r="C89" s="556"/>
    </row>
    <row r="90" spans="1:3">
      <c r="A90" s="7"/>
    </row>
    <row r="91" spans="1:3">
      <c r="A91" s="2" t="s">
        <v>331</v>
      </c>
      <c r="B91" s="3" t="s">
        <v>332</v>
      </c>
      <c r="C91" s="3" t="s">
        <v>274</v>
      </c>
    </row>
    <row r="92" spans="1:3">
      <c r="A92" s="4" t="s">
        <v>275</v>
      </c>
      <c r="B92" s="5" t="s">
        <v>333</v>
      </c>
      <c r="C92" s="6"/>
    </row>
    <row r="93" spans="1:3">
      <c r="A93" s="553" t="s">
        <v>44</v>
      </c>
      <c r="B93" s="554"/>
      <c r="C93" s="9"/>
    </row>
    <row r="96" spans="1:3">
      <c r="A96" s="556" t="s">
        <v>334</v>
      </c>
      <c r="B96" s="556"/>
      <c r="C96" s="556"/>
    </row>
    <row r="97" spans="1:3">
      <c r="A97" s="7"/>
    </row>
    <row r="98" spans="1:3">
      <c r="A98" s="2">
        <v>4</v>
      </c>
      <c r="B98" s="3" t="s">
        <v>335</v>
      </c>
      <c r="C98" s="3" t="s">
        <v>274</v>
      </c>
    </row>
    <row r="99" spans="1:3">
      <c r="A99" s="4" t="s">
        <v>325</v>
      </c>
      <c r="B99" s="5" t="s">
        <v>326</v>
      </c>
      <c r="C99" s="6"/>
    </row>
    <row r="100" spans="1:3">
      <c r="A100" s="4" t="s">
        <v>331</v>
      </c>
      <c r="B100" s="5" t="s">
        <v>332</v>
      </c>
      <c r="C100" s="6"/>
    </row>
    <row r="101" spans="1:3">
      <c r="A101" s="553" t="s">
        <v>44</v>
      </c>
      <c r="B101" s="554"/>
      <c r="C101" s="6"/>
    </row>
    <row r="104" spans="1:3">
      <c r="A104" s="555" t="s">
        <v>336</v>
      </c>
      <c r="B104" s="555"/>
      <c r="C104" s="555"/>
    </row>
    <row r="106" spans="1:3">
      <c r="A106" s="2">
        <v>5</v>
      </c>
      <c r="B106" s="14" t="s">
        <v>265</v>
      </c>
      <c r="C106" s="3" t="s">
        <v>274</v>
      </c>
    </row>
    <row r="107" spans="1:3">
      <c r="A107" s="4" t="s">
        <v>275</v>
      </c>
      <c r="B107" s="5" t="s">
        <v>337</v>
      </c>
      <c r="C107" s="6"/>
    </row>
    <row r="108" spans="1:3">
      <c r="A108" s="4" t="s">
        <v>277</v>
      </c>
      <c r="B108" s="5" t="s">
        <v>338</v>
      </c>
      <c r="C108" s="6"/>
    </row>
    <row r="109" spans="1:3">
      <c r="A109" s="4" t="s">
        <v>279</v>
      </c>
      <c r="B109" s="5" t="s">
        <v>339</v>
      </c>
      <c r="C109" s="6"/>
    </row>
    <row r="110" spans="1:3">
      <c r="A110" s="4" t="s">
        <v>281</v>
      </c>
      <c r="B110" s="5" t="s">
        <v>285</v>
      </c>
      <c r="C110" s="6"/>
    </row>
    <row r="111" spans="1:3">
      <c r="A111" s="553" t="s">
        <v>303</v>
      </c>
      <c r="B111" s="554"/>
      <c r="C111" s="6"/>
    </row>
    <row r="114" spans="1:4">
      <c r="A114" s="555" t="s">
        <v>340</v>
      </c>
      <c r="B114" s="555"/>
      <c r="C114" s="555"/>
    </row>
    <row r="116" spans="1:4">
      <c r="A116" s="2">
        <v>6</v>
      </c>
      <c r="B116" s="14" t="s">
        <v>266</v>
      </c>
      <c r="C116" s="3" t="s">
        <v>295</v>
      </c>
      <c r="D116" s="3" t="s">
        <v>274</v>
      </c>
    </row>
    <row r="117" spans="1:4">
      <c r="A117" s="4" t="s">
        <v>275</v>
      </c>
      <c r="B117" s="5" t="s">
        <v>247</v>
      </c>
      <c r="C117" s="15">
        <v>0.06</v>
      </c>
      <c r="D117" s="6"/>
    </row>
    <row r="118" spans="1:4">
      <c r="A118" s="4" t="s">
        <v>277</v>
      </c>
      <c r="B118" s="5" t="s">
        <v>249</v>
      </c>
      <c r="C118" s="8">
        <v>6.7900000000000002E-2</v>
      </c>
      <c r="D118" s="185"/>
    </row>
    <row r="119" spans="1:4">
      <c r="A119" s="4" t="s">
        <v>279</v>
      </c>
      <c r="B119" s="5" t="s">
        <v>248</v>
      </c>
      <c r="C119" s="8">
        <v>8.6499999999999994E-2</v>
      </c>
      <c r="D119" s="9"/>
    </row>
    <row r="120" spans="1:4">
      <c r="A120" s="4"/>
      <c r="B120" s="5" t="s">
        <v>348</v>
      </c>
      <c r="C120" s="15">
        <v>0.03</v>
      </c>
      <c r="D120" s="9"/>
    </row>
    <row r="121" spans="1:4">
      <c r="A121" s="4"/>
      <c r="B121" s="5" t="s">
        <v>347</v>
      </c>
      <c r="C121" s="8">
        <v>6.4999999999999997E-3</v>
      </c>
      <c r="D121" s="9"/>
    </row>
    <row r="122" spans="1:4">
      <c r="A122" s="4"/>
      <c r="B122" s="5" t="s">
        <v>346</v>
      </c>
      <c r="C122" s="15">
        <v>0.05</v>
      </c>
      <c r="D122" s="9"/>
    </row>
    <row r="123" spans="1:4">
      <c r="A123" s="553" t="s">
        <v>303</v>
      </c>
      <c r="B123" s="554"/>
      <c r="C123" s="9"/>
      <c r="D123" s="9"/>
    </row>
    <row r="126" spans="1:4">
      <c r="A126" s="555" t="s">
        <v>341</v>
      </c>
      <c r="B126" s="555"/>
      <c r="C126" s="555"/>
    </row>
    <row r="128" spans="1:4">
      <c r="A128" s="2"/>
      <c r="B128" s="3" t="s">
        <v>342</v>
      </c>
      <c r="C128" s="3" t="s">
        <v>274</v>
      </c>
    </row>
    <row r="129" spans="1:3">
      <c r="A129" s="16" t="s">
        <v>275</v>
      </c>
      <c r="B129" s="5" t="s">
        <v>272</v>
      </c>
      <c r="C129" s="184"/>
    </row>
    <row r="130" spans="1:3">
      <c r="A130" s="16" t="s">
        <v>277</v>
      </c>
      <c r="B130" s="5" t="s">
        <v>286</v>
      </c>
      <c r="C130" s="184"/>
    </row>
    <row r="131" spans="1:3">
      <c r="A131" s="16" t="s">
        <v>279</v>
      </c>
      <c r="B131" s="5" t="s">
        <v>315</v>
      </c>
      <c r="C131" s="184"/>
    </row>
    <row r="132" spans="1:3">
      <c r="A132" s="16" t="s">
        <v>281</v>
      </c>
      <c r="B132" s="5" t="s">
        <v>323</v>
      </c>
      <c r="C132" s="5"/>
    </row>
    <row r="133" spans="1:3">
      <c r="A133" s="16" t="s">
        <v>282</v>
      </c>
      <c r="B133" s="5" t="s">
        <v>336</v>
      </c>
      <c r="C133" s="184"/>
    </row>
    <row r="134" spans="1:3">
      <c r="A134" s="553" t="s">
        <v>343</v>
      </c>
      <c r="B134" s="554"/>
      <c r="C134" s="5"/>
    </row>
    <row r="135" spans="1:3">
      <c r="A135" s="16" t="s">
        <v>301</v>
      </c>
      <c r="B135" s="5" t="s">
        <v>344</v>
      </c>
      <c r="C135" s="5"/>
    </row>
    <row r="136" spans="1:3">
      <c r="A136" s="553" t="s">
        <v>345</v>
      </c>
      <c r="B136" s="554"/>
      <c r="C136" s="5"/>
    </row>
  </sheetData>
  <mergeCells count="30">
    <mergeCell ref="A114:C114"/>
    <mergeCell ref="A123:B123"/>
    <mergeCell ref="A126:C126"/>
    <mergeCell ref="A134:B134"/>
    <mergeCell ref="A136:B136"/>
    <mergeCell ref="A93:B93"/>
    <mergeCell ref="A96:C96"/>
    <mergeCell ref="A101:B101"/>
    <mergeCell ref="A104:C104"/>
    <mergeCell ref="A111:B111"/>
    <mergeCell ref="A72:B72"/>
    <mergeCell ref="A75:C75"/>
    <mergeCell ref="A78:C78"/>
    <mergeCell ref="A86:B86"/>
    <mergeCell ref="A89:C89"/>
    <mergeCell ref="A42:C42"/>
    <mergeCell ref="A51:B51"/>
    <mergeCell ref="A54:C54"/>
    <mergeCell ref="A60:B60"/>
    <mergeCell ref="A63:C63"/>
    <mergeCell ref="A18:C18"/>
    <mergeCell ref="A20:C20"/>
    <mergeCell ref="A25:B25"/>
    <mergeCell ref="A28:D28"/>
    <mergeCell ref="A39:B39"/>
    <mergeCell ref="A1:D1"/>
    <mergeCell ref="A2:D2"/>
    <mergeCell ref="A3:D3"/>
    <mergeCell ref="A6:C6"/>
    <mergeCell ref="A15:B15"/>
  </mergeCells>
  <pageMargins left="0.511811024" right="0.511811024" top="0.78740157499999996" bottom="0.78740157499999996" header="0.31496062000000002" footer="0.31496062000000002"/>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1</vt:i4>
      </vt:variant>
    </vt:vector>
  </HeadingPairs>
  <TitlesOfParts>
    <vt:vector size="6" baseType="lpstr">
      <vt:lpstr>Custo por trabalhador</vt:lpstr>
      <vt:lpstr>Resumo</vt:lpstr>
      <vt:lpstr>Moto</vt:lpstr>
      <vt:lpstr>Plan1</vt:lpstr>
      <vt:lpstr>Planilha de Custos</vt:lpstr>
      <vt:lpstr>'Custo por trabalhador'!Area_de_impressao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joao.machado</cp:lastModifiedBy>
  <cp:lastPrinted>2022-11-28T14:19:40Z</cp:lastPrinted>
  <dcterms:created xsi:type="dcterms:W3CDTF">2018-01-23T19:35:00Z</dcterms:created>
  <dcterms:modified xsi:type="dcterms:W3CDTF">2022-11-29T20:24:16Z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4252DA6A2CA547E38F884210DD9FF445</vt:lpwstr>
  </property>
  <property fmtid="{D5CDD505-2E9C-101B-9397-08002B2CF9AE}" pid="3" name="KSOProductBuildVer">
    <vt:lpwstr>1046-11.2.0.11029</vt:lpwstr>
  </property>
</Properties>
</file>