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375" tabRatio="755"/>
  </bookViews>
  <sheets>
    <sheet name="Planilha RESMO" sheetId="15" r:id="rId1"/>
    <sheet name="Planilha MEDIÇÃO" sheetId="13" r:id="rId2"/>
    <sheet name="FSUP" sheetId="1" r:id="rId3"/>
    <sheet name="FSUP-I" sheetId="2" r:id="rId4"/>
    <sheet name="FSUP-II" sheetId="3" r:id="rId5"/>
    <sheet name="FSUP-III" sheetId="5" r:id="rId6"/>
    <sheet name="FSUP-IV" sheetId="6" r:id="rId7"/>
    <sheet name="Memória de Cálculo" sheetId="10" r:id="rId8"/>
    <sheet name="BDI" sheetId="12" r:id="rId9"/>
    <sheet name="Encargos Sociais" sheetId="14" r:id="rId10"/>
  </sheets>
  <definedNames>
    <definedName name="_xlnm.Print_Area" localSheetId="2">FSUP!$A$1:$O$54</definedName>
    <definedName name="_xlnm.Print_Area" localSheetId="3">'FSUP-I'!$A$1:$L$43</definedName>
    <definedName name="_xlnm.Print_Area" localSheetId="4">'FSUP-II'!$A$1:$K$38</definedName>
    <definedName name="_xlnm.Print_Area" localSheetId="5">'FSUP-III'!$B$1:$I$41</definedName>
    <definedName name="_xlnm.Print_Area" localSheetId="1">'Planilha MEDIÇÃO'!$A$1:$I$44</definedName>
    <definedName name="_xlnm.Print_Area" localSheetId="0">'Planilha RESMO'!$A$1:$I$14</definedName>
  </definedNames>
  <calcPr calcId="124519"/>
  <fileRecoveryPr repairLoad="1"/>
</workbook>
</file>

<file path=xl/calcChain.xml><?xml version="1.0" encoding="utf-8"?>
<calcChain xmlns="http://schemas.openxmlformats.org/spreadsheetml/2006/main">
  <c r="I43" i="14"/>
  <c r="H43"/>
  <c r="G43"/>
  <c r="F43"/>
  <c r="E43"/>
  <c r="D43"/>
  <c r="C43"/>
  <c r="I42"/>
  <c r="H42"/>
  <c r="G42"/>
  <c r="F42"/>
  <c r="E42"/>
  <c r="D42"/>
  <c r="C42"/>
  <c r="I37"/>
  <c r="H37"/>
  <c r="G37"/>
  <c r="F37"/>
  <c r="E37"/>
  <c r="D37"/>
  <c r="C37"/>
  <c r="I30"/>
  <c r="H30"/>
  <c r="G30"/>
  <c r="F30"/>
  <c r="E30"/>
  <c r="D30"/>
  <c r="C30"/>
  <c r="I19"/>
  <c r="H19"/>
  <c r="G19"/>
  <c r="F19"/>
  <c r="E19"/>
  <c r="D19"/>
  <c r="C19"/>
  <c r="D26" i="12"/>
  <c r="C26"/>
  <c r="B6"/>
  <c r="AF39" i="10"/>
  <c r="AD39"/>
  <c r="AG38"/>
  <c r="AF38"/>
  <c r="AG37"/>
  <c r="AF37"/>
  <c r="AF31"/>
  <c r="AD31"/>
  <c r="AG30"/>
  <c r="AF30"/>
  <c r="AG29"/>
  <c r="AF29"/>
  <c r="AA21"/>
  <c r="AE20"/>
  <c r="AE19"/>
  <c r="AA19"/>
  <c r="AE18"/>
  <c r="AE17"/>
  <c r="Z17"/>
  <c r="Y16"/>
  <c r="AE15"/>
  <c r="AA15"/>
  <c r="Y15"/>
  <c r="AE14"/>
  <c r="AA14"/>
  <c r="Y14"/>
  <c r="AE13"/>
  <c r="AA13"/>
  <c r="Y13"/>
  <c r="AE12"/>
  <c r="K24" i="5" s="1"/>
  <c r="G24" s="1"/>
  <c r="Y12" i="10"/>
  <c r="AE11"/>
  <c r="AA11"/>
  <c r="Y11"/>
  <c r="AE10"/>
  <c r="AA10"/>
  <c r="AE9"/>
  <c r="Y9"/>
  <c r="AE8"/>
  <c r="F24" i="6"/>
  <c r="C24"/>
  <c r="A24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G22" s="1"/>
  <c r="A8"/>
  <c r="C3"/>
  <c r="C2"/>
  <c r="C1"/>
  <c r="G33" i="5"/>
  <c r="F33"/>
  <c r="B33"/>
  <c r="I28"/>
  <c r="G28"/>
  <c r="I27"/>
  <c r="G27"/>
  <c r="I26"/>
  <c r="G26"/>
  <c r="I25"/>
  <c r="G25"/>
  <c r="I20"/>
  <c r="H20"/>
  <c r="G20"/>
  <c r="N19"/>
  <c r="I19"/>
  <c r="H19"/>
  <c r="G19"/>
  <c r="H17"/>
  <c r="I17" s="1"/>
  <c r="G17"/>
  <c r="N16"/>
  <c r="H16"/>
  <c r="I16" s="1"/>
  <c r="G16"/>
  <c r="N14"/>
  <c r="H14"/>
  <c r="I14" s="1"/>
  <c r="G14"/>
  <c r="N13"/>
  <c r="H13"/>
  <c r="I13" s="1"/>
  <c r="G13"/>
  <c r="B8"/>
  <c r="E3"/>
  <c r="E2"/>
  <c r="E1"/>
  <c r="H27" i="3"/>
  <c r="G27"/>
  <c r="A27"/>
  <c r="J22"/>
  <c r="H22"/>
  <c r="G22"/>
  <c r="I22" s="1"/>
  <c r="K22" s="1"/>
  <c r="J21"/>
  <c r="I21"/>
  <c r="K21" s="1"/>
  <c r="H21"/>
  <c r="G21"/>
  <c r="J20"/>
  <c r="I20"/>
  <c r="K20" s="1"/>
  <c r="H20"/>
  <c r="G20"/>
  <c r="J19"/>
  <c r="H19"/>
  <c r="G19"/>
  <c r="I19" s="1"/>
  <c r="K19" s="1"/>
  <c r="J18"/>
  <c r="H18"/>
  <c r="G18"/>
  <c r="I18" s="1"/>
  <c r="K18" s="1"/>
  <c r="J17"/>
  <c r="I17"/>
  <c r="K17" s="1"/>
  <c r="H17"/>
  <c r="G17"/>
  <c r="J15"/>
  <c r="I15"/>
  <c r="K15" s="1"/>
  <c r="H15"/>
  <c r="G15"/>
  <c r="J14"/>
  <c r="H14"/>
  <c r="G14"/>
  <c r="I14" s="1"/>
  <c r="K14" s="1"/>
  <c r="J13"/>
  <c r="H13"/>
  <c r="G13"/>
  <c r="I13" s="1"/>
  <c r="A8"/>
  <c r="C3"/>
  <c r="C2"/>
  <c r="C1"/>
  <c r="H30" i="2"/>
  <c r="A30"/>
  <c r="L27"/>
  <c r="K25"/>
  <c r="J25"/>
  <c r="I25"/>
  <c r="L23"/>
  <c r="K23"/>
  <c r="J23"/>
  <c r="I23"/>
  <c r="H23"/>
  <c r="L22"/>
  <c r="K22"/>
  <c r="J22"/>
  <c r="I22"/>
  <c r="H22"/>
  <c r="L21"/>
  <c r="K21"/>
  <c r="J21"/>
  <c r="I21"/>
  <c r="H21"/>
  <c r="L19"/>
  <c r="K19"/>
  <c r="J19"/>
  <c r="I19"/>
  <c r="H19"/>
  <c r="L18"/>
  <c r="K18"/>
  <c r="J18"/>
  <c r="I18"/>
  <c r="H18"/>
  <c r="L17"/>
  <c r="K17"/>
  <c r="J17"/>
  <c r="I17"/>
  <c r="H17"/>
  <c r="L15"/>
  <c r="K15"/>
  <c r="J15"/>
  <c r="I15"/>
  <c r="H15"/>
  <c r="L14"/>
  <c r="K14"/>
  <c r="J14"/>
  <c r="I14"/>
  <c r="H14"/>
  <c r="D3"/>
  <c r="D2"/>
  <c r="D1"/>
  <c r="N16" i="1"/>
  <c r="N15"/>
  <c r="N14"/>
  <c r="N12"/>
  <c r="J40" i="13"/>
  <c r="H40"/>
  <c r="G40"/>
  <c r="F40"/>
  <c r="I40" s="1"/>
  <c r="J39"/>
  <c r="G39"/>
  <c r="H39" s="1"/>
  <c r="I39" s="1"/>
  <c r="F39"/>
  <c r="G38"/>
  <c r="H38" s="1"/>
  <c r="I38" s="1"/>
  <c r="F38"/>
  <c r="G37"/>
  <c r="H37" s="1"/>
  <c r="I37" s="1"/>
  <c r="F37"/>
  <c r="G36"/>
  <c r="H36" s="1"/>
  <c r="H33"/>
  <c r="G33"/>
  <c r="F33"/>
  <c r="I33" s="1"/>
  <c r="H32"/>
  <c r="G32"/>
  <c r="F32"/>
  <c r="I32" s="1"/>
  <c r="H31"/>
  <c r="G31"/>
  <c r="F31"/>
  <c r="I31" s="1"/>
  <c r="H30"/>
  <c r="G30"/>
  <c r="F30"/>
  <c r="I30" s="1"/>
  <c r="H29"/>
  <c r="G29"/>
  <c r="F29"/>
  <c r="I29" s="1"/>
  <c r="H28"/>
  <c r="G28"/>
  <c r="F28"/>
  <c r="I28" s="1"/>
  <c r="G24"/>
  <c r="H24" s="1"/>
  <c r="H21"/>
  <c r="I21" s="1"/>
  <c r="G21"/>
  <c r="F21"/>
  <c r="H20"/>
  <c r="I20" s="1"/>
  <c r="G20"/>
  <c r="F20"/>
  <c r="H19"/>
  <c r="I19" s="1"/>
  <c r="G19"/>
  <c r="F19"/>
  <c r="H18"/>
  <c r="I18" s="1"/>
  <c r="G18"/>
  <c r="F18"/>
  <c r="H17"/>
  <c r="I17" s="1"/>
  <c r="G17"/>
  <c r="F17"/>
  <c r="H16"/>
  <c r="I16" s="1"/>
  <c r="G16"/>
  <c r="F16"/>
  <c r="H15"/>
  <c r="I15" s="1"/>
  <c r="G15"/>
  <c r="F15"/>
  <c r="H14"/>
  <c r="I14" s="1"/>
  <c r="G14"/>
  <c r="F14"/>
  <c r="H13"/>
  <c r="I13" s="1"/>
  <c r="G13"/>
  <c r="F13"/>
  <c r="H12"/>
  <c r="I12" s="1"/>
  <c r="I11" s="1"/>
  <c r="G12"/>
  <c r="F12"/>
  <c r="I7"/>
  <c r="A4"/>
  <c r="I7" i="15"/>
  <c r="A4"/>
  <c r="I21" i="5" l="1"/>
  <c r="N22" i="1" s="1"/>
  <c r="I23" i="3"/>
  <c r="I25"/>
  <c r="K13"/>
  <c r="K25" s="1"/>
  <c r="I24" i="5"/>
  <c r="I29" s="1"/>
  <c r="F36" i="13"/>
  <c r="I36" s="1"/>
  <c r="I35" s="1"/>
  <c r="I27"/>
  <c r="G23" i="3"/>
  <c r="N24" i="1" l="1"/>
  <c r="N25" s="1"/>
  <c r="H23" i="3"/>
  <c r="F24" i="13"/>
  <c r="I24" s="1"/>
  <c r="I23" s="1"/>
  <c r="I10" s="1"/>
  <c r="AE16" i="10"/>
  <c r="J24" i="13" s="1"/>
  <c r="I31" i="5"/>
  <c r="N23" i="1"/>
  <c r="M25" i="3"/>
  <c r="N18" i="1"/>
  <c r="N19" s="1"/>
  <c r="I26" i="13"/>
  <c r="N39" i="1" l="1"/>
  <c r="N35"/>
  <c r="N31"/>
  <c r="N29"/>
  <c r="N40"/>
  <c r="N38"/>
  <c r="N30"/>
  <c r="N28"/>
  <c r="H43" i="13"/>
  <c r="H44" s="1"/>
  <c r="G12" i="15" s="1"/>
  <c r="N32" i="1" l="1"/>
  <c r="H12" i="15"/>
  <c r="K12"/>
  <c r="N41" i="1"/>
  <c r="T32" l="1"/>
  <c r="N43"/>
  <c r="N44" l="1"/>
  <c r="T40"/>
  <c r="T38"/>
  <c r="T29"/>
  <c r="T39"/>
  <c r="T28"/>
  <c r="T31"/>
  <c r="T30"/>
  <c r="T35"/>
  <c r="T41"/>
  <c r="H21" i="6" l="1"/>
  <c r="H18"/>
  <c r="H14"/>
  <c r="H10"/>
  <c r="Q44" i="1"/>
  <c r="H11" i="6"/>
  <c r="H17"/>
  <c r="H13"/>
  <c r="H15"/>
  <c r="H20"/>
  <c r="H16"/>
  <c r="H12"/>
  <c r="H19"/>
  <c r="H22" l="1"/>
</calcChain>
</file>

<file path=xl/sharedStrings.xml><?xml version="1.0" encoding="utf-8"?>
<sst xmlns="http://schemas.openxmlformats.org/spreadsheetml/2006/main" count="772" uniqueCount="462">
  <si>
    <t>MINISTÉRIO DO DESENVOLVIMENTO REGIONAL</t>
  </si>
  <si>
    <t>COMPANHIA DE DESENVOLVIMENTO DOS VALES DO SÃO FRANCISCO E PARNAÍBA</t>
  </si>
  <si>
    <t>2ª SUPERINTENDÊNCIA REGIONAL - Bom Jesus da Lapa/BA</t>
  </si>
  <si>
    <t>Local: Área de abrangência da 2ª Superintendência Regional</t>
  </si>
  <si>
    <t>BASES:</t>
  </si>
  <si>
    <t>SICRO-BA: JUL/2022; TC-DNIT-BA: JUL/2022; BDI-TC-DNT: AGO/2022 (Ofício-Circular n. 4499/2022)</t>
  </si>
  <si>
    <t>BDI (%):</t>
  </si>
  <si>
    <t>PLANILHA RESUMO</t>
  </si>
  <si>
    <t>Item</t>
  </si>
  <si>
    <t>Descrição</t>
  </si>
  <si>
    <t>Unidade</t>
  </si>
  <si>
    <t>Quantidade</t>
  </si>
  <si>
    <t>Preço Unitário</t>
  </si>
  <si>
    <t>Preço Total</t>
  </si>
  <si>
    <t>Serviços Topográficos e de Supervisão Técnica de Instrumentos</t>
  </si>
  <si>
    <t>Relatório</t>
  </si>
  <si>
    <t>Período =</t>
  </si>
  <si>
    <t>meses</t>
  </si>
  <si>
    <t>BDI - Tabela de Consultoria DNIT (ago/2022)</t>
  </si>
  <si>
    <t>PLANILHA ORÇAMENTÁRIA</t>
  </si>
  <si>
    <t>Código</t>
  </si>
  <si>
    <t>Banco</t>
  </si>
  <si>
    <t>Und</t>
  </si>
  <si>
    <t>Quant.</t>
  </si>
  <si>
    <t>Valor Unit</t>
  </si>
  <si>
    <t>Valor Unit com BDI</t>
  </si>
  <si>
    <t>Total</t>
  </si>
  <si>
    <t>MÃO-DE-OBRA</t>
  </si>
  <si>
    <t>1.1</t>
  </si>
  <si>
    <t>Salário da Equipe Técnica</t>
  </si>
  <si>
    <t>1.1.1</t>
  </si>
  <si>
    <t>P9812</t>
  </si>
  <si>
    <t>SICRO</t>
  </si>
  <si>
    <t>Engenheiro - (Bom Jesus da Lapa/BA)</t>
  </si>
  <si>
    <t>PROFISSIONAIS X MÊS</t>
  </si>
  <si>
    <t>1.1.2</t>
  </si>
  <si>
    <t>Engenheiro - (Irecê/BA)</t>
  </si>
  <si>
    <t>1.1.3</t>
  </si>
  <si>
    <t>Engenheiro - (Vitória da Conquista/BA)</t>
  </si>
  <si>
    <t>1.1.5</t>
  </si>
  <si>
    <t>P8147</t>
  </si>
  <si>
    <t>Técnico de obras</t>
  </si>
  <si>
    <t>1.1.6</t>
  </si>
  <si>
    <t>P9848</t>
  </si>
  <si>
    <t>Desenhista</t>
  </si>
  <si>
    <t>1.1.7</t>
  </si>
  <si>
    <t>P8163</t>
  </si>
  <si>
    <t>Topógrafo</t>
  </si>
  <si>
    <t>1.1.8</t>
  </si>
  <si>
    <t>P8028</t>
  </si>
  <si>
    <t>Auxiliar de Topografia</t>
  </si>
  <si>
    <t>1.1.9</t>
  </si>
  <si>
    <t>P8113</t>
  </si>
  <si>
    <t>Motorista de veículo leve</t>
  </si>
  <si>
    <t>1.1.10</t>
  </si>
  <si>
    <t>P8026</t>
  </si>
  <si>
    <t>Auxiliar Administrativo</t>
  </si>
  <si>
    <t>1.1.11</t>
  </si>
  <si>
    <t>P8098</t>
  </si>
  <si>
    <t>TC-DNIT</t>
  </si>
  <si>
    <t>Laboratorista</t>
  </si>
  <si>
    <t>1.2</t>
  </si>
  <si>
    <t>Viagens</t>
  </si>
  <si>
    <t>1.2.1</t>
  </si>
  <si>
    <t>Tabela Diárias da Codevasf</t>
  </si>
  <si>
    <t>Diárias</t>
  </si>
  <si>
    <t>UND.</t>
  </si>
  <si>
    <t>diárias/mês x 12 meses</t>
  </si>
  <si>
    <t>MANUTENÇÃO OPERACIONAL</t>
  </si>
  <si>
    <t>2.1</t>
  </si>
  <si>
    <t>Veículos</t>
  </si>
  <si>
    <t>2.1.1</t>
  </si>
  <si>
    <t>E9093</t>
  </si>
  <si>
    <t>Veículo leve - 53 kW (sem motorista) - disponibilizado em Bom Jesus da Lapa/BA</t>
  </si>
  <si>
    <t>UND. X MÊS</t>
  </si>
  <si>
    <t>2.1.2</t>
  </si>
  <si>
    <t>E8891</t>
  </si>
  <si>
    <t>Veículo leve picape 4x4 - 147 kW (sem motorista) - disponibilizado em Bom Jesus da Lapa/BA</t>
  </si>
  <si>
    <t>2.1.3</t>
  </si>
  <si>
    <t>Veículo leve - 53 kW (sem motorista) - disponibilizado em Irecê/BA</t>
  </si>
  <si>
    <t>2.1.4</t>
  </si>
  <si>
    <t>Veículo leve picape 4x4 - 147 kW (sem motorista) - disponibilizado em Irecê/BA</t>
  </si>
  <si>
    <t>2.1.5</t>
  </si>
  <si>
    <t>Veículo leve - 53 kW (sem motorista) - disponibilizado em Vitória da Conquista/BA</t>
  </si>
  <si>
    <t>2.1.6</t>
  </si>
  <si>
    <t>Veículo leve picape 4x4 - 147 kW (sem motorista) - disponibilizado em Vitória da Conquista/BA</t>
  </si>
  <si>
    <t>2.2</t>
  </si>
  <si>
    <t>Manutenção e Administração do Escritório</t>
  </si>
  <si>
    <t>2.2.1</t>
  </si>
  <si>
    <t>B8951</t>
  </si>
  <si>
    <t>IMÓVEL COMERCIAL (2,60 do CMCC - SINAPI)</t>
  </si>
  <si>
    <t>M² X MÊS</t>
  </si>
  <si>
    <t>6 m² x equipe mínima/mês x 12 meses</t>
  </si>
  <si>
    <t>2.2.2</t>
  </si>
  <si>
    <t>B8953</t>
  </si>
  <si>
    <t>MOBILIÁRIO - ESCRITÓRIO</t>
  </si>
  <si>
    <t>FUNCIONÁRIOS X MÊS</t>
  </si>
  <si>
    <t>2.2.3</t>
  </si>
  <si>
    <t>B8959</t>
  </si>
  <si>
    <t>CUSTOS DIVERSOS - ESCRITÓRIO</t>
  </si>
  <si>
    <t>2.2.4</t>
  </si>
  <si>
    <t>B8958</t>
  </si>
  <si>
    <t>TOPOGRAFIA</t>
  </si>
  <si>
    <t>EQUIPE X MÊS</t>
  </si>
  <si>
    <t>equipes de topografia</t>
  </si>
  <si>
    <t>2.2.5</t>
  </si>
  <si>
    <t>B8957</t>
  </si>
  <si>
    <t>LABORATÓRIO DE SOLOS</t>
  </si>
  <si>
    <t>UNID. X MÊS</t>
  </si>
  <si>
    <t>laboratório de solos</t>
  </si>
  <si>
    <t>Total Geral (Período de 12 meses)</t>
  </si>
  <si>
    <t>Preço Unitário por Relatório Mensal</t>
  </si>
  <si>
    <t>Ministério de Desenvolvimento Regional - MDR</t>
  </si>
  <si>
    <t>Companhia de Desenvolvimento dos Vales do São Francisco e do Parnaíba</t>
  </si>
  <si>
    <t>2ª Superintendência Regional da Codevasf</t>
  </si>
  <si>
    <t>PROPOSTA FINANCEIRA APOIO A FISC. E SUP. DE OBRA</t>
  </si>
  <si>
    <t>CODIGO:</t>
  </si>
  <si>
    <t>FSUP</t>
  </si>
  <si>
    <t>OBJETO:</t>
  </si>
  <si>
    <t>EDITAL:</t>
  </si>
  <si>
    <t>SERVIÇOS TOPOGRÁFICOS E DE APOIO À FISCALIZAÇÃO E SUPERVISÃO TÉCNICA DE INSTRUMENTOS NA ÁREA DE ABRANGÊNCIA DA 2ª SR</t>
  </si>
  <si>
    <t>SERVIÇOS PAGOS A PREÇO UNITÁRIO</t>
  </si>
  <si>
    <t>A1 - TOTAL DE SALÁRIO DA EQUIPE COM VÍNCULO ( FSUP-I )</t>
  </si>
  <si>
    <t>A2 - TOTAL DE SALÁRIO DO AUTÔNOMO ( FSUP-I )</t>
  </si>
  <si>
    <t>A - TOTAL DOS CUSTOS DE SALÁRIOS DA EQUIPE</t>
  </si>
  <si>
    <t>B1 - ENCARGOS TOTAIS DA EQUIPE TÉCNICA ( FSUP-I )</t>
  </si>
  <si>
    <t>B - TOTAL DOS CUSTOS COM ENCARGOS</t>
  </si>
  <si>
    <t>C1 - CUSTO TOTAL DAS PASSAGENS AÉREAS E TERRESTRES ( FSUP-II )</t>
  </si>
  <si>
    <t>C2 - CUSTO TOTAL DAS DIÁRIAS ( FSUP-II )</t>
  </si>
  <si>
    <t>C - TOTAL DO CUSTO COM VIAGENS</t>
  </si>
  <si>
    <t>D1 - CUSTO DOS VEÍCULOS ( FSUP-III, ITEM 1 )</t>
  </si>
  <si>
    <t>D2 - CUSTO DA MANUTENÇÃO E ADMINISTRAÇÃO DE ESCRITÓRIO ( FSUP-III, ITEM 2 )</t>
  </si>
  <si>
    <t>D - TOTAL DOS PREÇOS COM MANUTENÇÃO OPERACIONAL</t>
  </si>
  <si>
    <t>TOTAL DOS CUSTOS DIRETOS</t>
  </si>
  <si>
    <t>DESPESAS INDIRETAS</t>
  </si>
  <si>
    <t>E1 - ADMINISTRAÇÃO CENTRAL ( 10% SOBRE O CUSTO DIRETO )</t>
  </si>
  <si>
    <t>Tabela de Preços de Consultoria DNIT</t>
  </si>
  <si>
    <t>E2 - DESPESAS FINANCEIRAS ( 1,44% SOBRE O CUSTO DIRETO )</t>
  </si>
  <si>
    <t>E3 - RISCOS ( 0,72% SOBRE O CUSTO DIRETO )</t>
  </si>
  <si>
    <t>E4 - SEGUROS E GARANTIAS CONTRATUAIS ( 0,14% SOBRE O CUSTO DIRETO )</t>
  </si>
  <si>
    <t>TOTAL DOS CUSTOS INDIRETOS</t>
  </si>
  <si>
    <t>BENEFÍCIOS</t>
  </si>
  <si>
    <t>F1 - LUCRO (12% SOBRE O CUSTO DIRETO )</t>
  </si>
  <si>
    <t>TRIBUTOS</t>
  </si>
  <si>
    <t>G1 - PIS ( 1,65% DO PREÇO DE VENDA )</t>
  </si>
  <si>
    <t>G2 - COFINS ( 7,60% DO PREÇO DE VENDA )</t>
  </si>
  <si>
    <t>G3 - ISS ( 5,00% DO PREÇO DE VENDA )</t>
  </si>
  <si>
    <t>TOTAL DE TRIBUTOS</t>
  </si>
  <si>
    <t>TOTAL DA PROPOSTA (R$)</t>
  </si>
  <si>
    <t>R$/Relatório Mensal</t>
  </si>
  <si>
    <t>NOME DO INFORMANTE:</t>
  </si>
  <si>
    <t>QUALIFICAÇÃO:</t>
  </si>
  <si>
    <t>JAMILLE ALMEIDA BRITO</t>
  </si>
  <si>
    <t>ANALISTA EM DESENVOLVIMENTO REGIONAL DA CODEVASF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</si>
  <si>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</si>
  <si>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</si>
  <si>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</si>
  <si>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</si>
  <si>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DA EQUIPE COM VÍNCULO = 70,91% SOBRE O SALÁRIO MENSAL</t>
  </si>
  <si>
    <t>2. CUSTO DE ADMINISTRAÇÃO = 10,00% SOBRE O CUSTO DIRETO CONFORME TABELA DE PREÇOS DE CONSULTORIA (BDI) A PARTIR DE 16/08/2022</t>
  </si>
  <si>
    <t>3. REMUNERAÇÃO DA EMPRESA (LUCRO) = 12,00% SOBRE O CUSTO DIRETO CONFORME TABELA DE PREÇOS DE CONSULTORIA (BDI) A PARTIR DE 16/08/2022</t>
  </si>
  <si>
    <t>SALÁRIOS DA EQUIPE TÉCNICA</t>
  </si>
  <si>
    <t>FSUP-I</t>
  </si>
  <si>
    <t>OBJETO</t>
  </si>
  <si>
    <t>EQUIPE TÉCNICA</t>
  </si>
  <si>
    <t>COMPOSIÇÃO DOS SALÁRIOS POR PROFISSÃO/FUNÇÃO</t>
  </si>
  <si>
    <t>QTD</t>
  </si>
  <si>
    <t>CUSTO TOTAL (R$)</t>
  </si>
  <si>
    <t>ENC.</t>
  </si>
  <si>
    <t>ITEM</t>
  </si>
  <si>
    <t>BASE</t>
  </si>
  <si>
    <t>CÓDIGO</t>
  </si>
  <si>
    <t>PROFISSÃO/FUNÇÃO</t>
  </si>
  <si>
    <t>SALÁRIO</t>
  </si>
  <si>
    <t>TOTAIS</t>
  </si>
  <si>
    <t>CUSTO UN.</t>
  </si>
  <si>
    <t>FUNC X MÊS</t>
  </si>
  <si>
    <t>S/ ENCARGOS</t>
  </si>
  <si>
    <t>DOS ENCARGOS</t>
  </si>
  <si>
    <t>C/ ENCARGOS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</si>
  <si>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</si>
  <si>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</si>
  <si>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</si>
  <si>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</si>
  <si>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</si>
  <si>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</si>
  <si>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</si>
  <si>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</si>
  <si>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</si>
  <si>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</si>
  <si>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PROFISSIONAIS DE NÍVEL SUPERIOR</t>
  </si>
  <si>
    <t>SICRO-BA</t>
  </si>
  <si>
    <t>Engenheiro</t>
  </si>
  <si>
    <t>mês</t>
  </si>
  <si>
    <t>Engenheiros =</t>
  </si>
  <si>
    <t>1.3</t>
  </si>
  <si>
    <t>P9867</t>
  </si>
  <si>
    <t>Técnico especializado - mensalista</t>
  </si>
  <si>
    <t>Técnico =</t>
  </si>
  <si>
    <t>PROFISSIONAIS DE NÍVEL TÉCNICO</t>
  </si>
  <si>
    <t>Cadista =</t>
  </si>
  <si>
    <t>P9949</t>
  </si>
  <si>
    <t>Topógrafo =</t>
  </si>
  <si>
    <t>2.3</t>
  </si>
  <si>
    <t>P9950</t>
  </si>
  <si>
    <t>Auxiliar Topo =</t>
  </si>
  <si>
    <t>PROFISSIONAIS DE NÍVEL MÉDIO</t>
  </si>
  <si>
    <t>3.1</t>
  </si>
  <si>
    <t>P9948</t>
  </si>
  <si>
    <t>Motorista de veículo leve - mensalista</t>
  </si>
  <si>
    <t>Motorista =</t>
  </si>
  <si>
    <t>3.2</t>
  </si>
  <si>
    <t>P9806</t>
  </si>
  <si>
    <t>Auxiliar =</t>
  </si>
  <si>
    <t>3.3</t>
  </si>
  <si>
    <t>Laboratorista =</t>
  </si>
  <si>
    <t>TOTAIS (R$)</t>
  </si>
  <si>
    <t>TOTAL DOS SALÁRIOS DA EQUIPE TÉCNICA (R$)</t>
  </si>
  <si>
    <t>QUALIFICAÇÃO:
DATA:</t>
  </si>
  <si>
    <t xml:space="preserve">1 - CÓDIGOS REFERENTES AO SISTEMA DE CUSTOS SICRO (ABR/2022) </t>
  </si>
  <si>
    <t>2 - DESCRIÇÃO DO PROFISSIONAL/FUNÇÃO</t>
  </si>
  <si>
    <t>3 - UNIDADE DE REFERÊNCIA PARA CÁLCULO DO CUSTO</t>
  </si>
  <si>
    <t>4- SALÁRIO NA BASE DE DADOS REFERENCIAL</t>
  </si>
  <si>
    <r>
      <rPr>
        <sz val="8"/>
        <rFont val="Arial"/>
        <charset val="134"/>
      </rPr>
      <t xml:space="preserve">5 - ENCARGOS </t>
    </r>
    <r>
      <rPr>
        <b/>
        <sz val="8"/>
        <rFont val="Arial"/>
        <charset val="134"/>
      </rPr>
      <t>TOTAIS</t>
    </r>
    <r>
      <rPr>
        <sz val="8"/>
        <rFont val="Arial"/>
        <charset val="134"/>
      </rPr>
      <t xml:space="preserve"> (SOCIAIS, COMPLEMENTARES E ADICIONAIS) NA BASE DE DADOS REFERENCIAL</t>
    </r>
  </si>
  <si>
    <t>6- CUSTO UNITÁRIO</t>
  </si>
  <si>
    <t>7 - QUANTIDADE TOTAL DE FUNCIONÁRIOS POR TIPO POR 12 MESES</t>
  </si>
  <si>
    <t>8 - CUSTO TOTAL DOS SALÁRIOS SEM ENCARGOS POR 12 MESES SEM DESPESAS INDIRETAS, LUCRO E TRIBUTOS</t>
  </si>
  <si>
    <t>9 - CUSTO TOTAL DOS ENCARGOS POR 12 MESES SEM DESPESAS INDIRETAS, LUCRO E TRIBUTOS</t>
  </si>
  <si>
    <t>10 - CUSTO TOTAL DOS SALÁRIOS COM ENCARGOS POR 12 MESES SEM DESPESAS INDIRETAS, LUCRO E TRIBUTOS</t>
  </si>
  <si>
    <t>11 - TC-DNIT = TABELA CONSULTORIA DNIT</t>
  </si>
  <si>
    <t>VIAGENS DA EQUIPE TÉCNICA</t>
  </si>
  <si>
    <t>FSUP-II</t>
  </si>
  <si>
    <t>DIAS TRABALHADOS</t>
  </si>
  <si>
    <t>DIÁRIAS   (6)</t>
  </si>
  <si>
    <t>PERÍODO</t>
  </si>
  <si>
    <t>CUSTO</t>
  </si>
  <si>
    <t>FUNC.</t>
  </si>
  <si>
    <t>EM CAMPO NO MÊS</t>
  </si>
  <si>
    <t>ROTEIRO</t>
  </si>
  <si>
    <t>A/T</t>
  </si>
  <si>
    <t>HOSPEDAGEM + ALIMENTAÇÃO</t>
  </si>
  <si>
    <t>(meses)</t>
  </si>
  <si>
    <t>TOTAL</t>
  </si>
  <si>
    <t>(noites/mês)</t>
  </si>
  <si>
    <t>R$/noite</t>
  </si>
  <si>
    <t>EQUIPE DE TOPOGRAFIA</t>
  </si>
  <si>
    <t>Hospedagem + Alimentação</t>
  </si>
  <si>
    <t>Deslocamentos de Bom Jesus da Lapa aos municípios da área de atuação da 2ª SR transportados nos veículos do contrato</t>
  </si>
  <si>
    <t>T</t>
  </si>
  <si>
    <t>Engenheiro (Orçamentista)</t>
  </si>
  <si>
    <t>Deslocamentos de Bom Jesus da Lapa aos municípios da Área de atuação da 2ª SR (Anexos) transportados nos veículos do contrato</t>
  </si>
  <si>
    <t>Engenheiro (Exp. Pavimentação)</t>
  </si>
  <si>
    <t>Deslocamentos de Irecê aos municípios da Área de atuação da 2ª SR (Anexos) transportados nos veículos do contrato</t>
  </si>
  <si>
    <t>2.4</t>
  </si>
  <si>
    <t>Deslocamentos de Vitória da Conquista aos municípios da Área de atuação da 2ª SR (Anexos) transportados nos veículos do contrato</t>
  </si>
  <si>
    <t>2.5</t>
  </si>
  <si>
    <t>Técnico especializado (Estradas)</t>
  </si>
  <si>
    <t>Deslocamentos de Bom Jesus da Lapa aos municípios da Área I de atuação da 2ª SR (Anexos) transportados nos veículos do contrato</t>
  </si>
  <si>
    <t>2.6</t>
  </si>
  <si>
    <t>Custo com BDI</t>
  </si>
  <si>
    <t>TOTAIS DE CUSTOS E DE PREÇOS DE PASSAGENS E DIÁRIAS (R$)</t>
  </si>
  <si>
    <t>1 - RELAÇÃO DE PROFISSIONAIS</t>
  </si>
  <si>
    <t>2 - QUANTIDADE DE FUNCIONÁRIOS POR TIPO DE PROFISSIONAL</t>
  </si>
  <si>
    <t>3 - DIAS ÚTEIS DEDICADOS A TRABALHOS FORA DO ESCRITÓRIO (EM CAMPO)</t>
  </si>
  <si>
    <t>4 - DESCRIÇÃO DOS ROTEIROS DE VIAGEM ESPERADOS</t>
  </si>
  <si>
    <t>5 - INDICAR (A) PARA AS PASSAGENS AÉREAS E (T) PARA AS TERRESTRES</t>
  </si>
  <si>
    <t>6 - DESCRIÇÃO DAS DIÁRIAS E O CUSTO POR TIPO (ALIMENTAÇÃO E HOSPEDAGEM)</t>
  </si>
  <si>
    <t>7 - PERÍODO ESTIMADO DE VIGÊNCIA DO CONTRATO</t>
  </si>
  <si>
    <t>8 - CUSTO TOTAL POR 12 MESES SEM DESPESAS INDIRETAS, LUCRO E TRIBUTOS</t>
  </si>
  <si>
    <t>9 - O CUSTO DAS DIÁRIAS DE ALIMENTAÇÃO E HOSPEDAGEM SE BASEIA NA TABELA DE DIÁRIAS DA CODEVASF</t>
  </si>
  <si>
    <t>DESPESAS OPERACIONAIS</t>
  </si>
  <si>
    <t>FSUP-III</t>
  </si>
  <si>
    <t>PROJETO:</t>
  </si>
  <si>
    <t>REFERÊNCIA</t>
  </si>
  <si>
    <t>Relatório de Custos Gerais e BDI DNIT - Abril/2022</t>
  </si>
  <si>
    <t>DESCRIÇÃO</t>
  </si>
  <si>
    <t>UNID.</t>
  </si>
  <si>
    <t>QUANT.</t>
  </si>
  <si>
    <t>CUSTOS (R$)   (3)</t>
  </si>
  <si>
    <t>UNITÁRIO</t>
  </si>
  <si>
    <t>1.</t>
  </si>
  <si>
    <r>
      <rPr>
        <b/>
        <sz val="10"/>
        <rFont val="Arial"/>
        <charset val="134"/>
      </rPr>
      <t xml:space="preserve">VEÍCULOS </t>
    </r>
    <r>
      <rPr>
        <b/>
        <sz val="8"/>
        <rFont val="Arial"/>
        <charset val="134"/>
      </rPr>
      <t>(1)</t>
    </r>
  </si>
  <si>
    <t>Bom Jesus da Lapa/BA</t>
  </si>
  <si>
    <t>Veículo leve - 53 kW (sem motorista)</t>
  </si>
  <si>
    <t>UND X MÊS</t>
  </si>
  <si>
    <t>Veículo =</t>
  </si>
  <si>
    <t>Veículo leve picape 4x4 - 147 kW (sem motorista)</t>
  </si>
  <si>
    <t>Vitória da Conquista/BA</t>
  </si>
  <si>
    <t>Irecê/BA</t>
  </si>
  <si>
    <t>1.3.1</t>
  </si>
  <si>
    <t>1.3.2</t>
  </si>
  <si>
    <t>TOTAL DOS CUSTOS DOS VEÍCULOS (R$)</t>
  </si>
  <si>
    <t>2.</t>
  </si>
  <si>
    <r>
      <rPr>
        <b/>
        <sz val="10"/>
        <rFont val="Arial"/>
        <charset val="134"/>
      </rPr>
      <t xml:space="preserve">MANUTENÇÃO E ADMINISTRAÇÃO DE ESCRITÓRIO </t>
    </r>
    <r>
      <rPr>
        <b/>
        <sz val="8"/>
        <rFont val="Arial"/>
        <charset val="134"/>
      </rPr>
      <t>(2)</t>
    </r>
  </si>
  <si>
    <t>Equipe mínima =</t>
  </si>
  <si>
    <t>Equipes de topografia =</t>
  </si>
  <si>
    <t>UNIDADE X MÊS</t>
  </si>
  <si>
    <t>Laboratório =</t>
  </si>
  <si>
    <t>TOTAL DOS CUSTOS DE MANUTENÇÃO E ADMINISTRAÇÃO DE ESCRITÓRIO (R$)</t>
  </si>
  <si>
    <t>TOTAL DAS DESPESAS OPERACIONAIS (R$)</t>
  </si>
  <si>
    <t>1. O CUSTO HORÁRIO DOS VEÍCULOS INCLUI DESPESAS COM MANUTENÇÃO E COMBUSTÍVEL, CONFORME A COMPOSIÇÃO DE CUSTO DA TABELA DE CONSUTORIA DO DNIT</t>
  </si>
  <si>
    <t>2. VER DESCRIÇÃO DOS ITENS ABAIXO NA TABELA DE CONSULTORIA DO DNIT - CESTAS DE MOBILIÁRIO, DE INSTALAÇÕES E CUSTOS DIVERSOS</t>
  </si>
  <si>
    <t>3. CUSTO DO ITEM SEM LUCRO E DESPESAS FISCAIS</t>
  </si>
  <si>
    <t>3. CUSTO TOTAL POR 12 MESES SEM DESPESAS INDIRETAS, LUCRO E TRIBUTOS</t>
  </si>
  <si>
    <t>4. OS ITENS RELATIVOS AO MOBILIÁRIO E AOS CUSTOS DIVERSOS DO ESCRITÓRIO SERVIRÃO PARA COBRIR AS DESPESAS COM OS PROFISSIONAIS DISPONIBILIZADOS AO ESCRITÓRIO DE APOIO TÉCNICO DE IRECÊ E A UNIDADE DESCENTRALIZADA DE VITÓRIA DA CONQUISTA.</t>
  </si>
  <si>
    <t>5. NÃO SERÁ EXIGIDO ENTREGA DE DOCUMENTOS IMPRESSOS. A VERSÃO DIGITAL SERÁ ACEITA PARA MEDIÇÃO DOS SERVIÇOS, CONFORME CRITÉRIOS ESTABELECIDOS EM EDITAL</t>
  </si>
  <si>
    <t>CRONOGRAMA FINANCEIRO</t>
  </si>
  <si>
    <t>FSUP-IV</t>
  </si>
  <si>
    <t>Nº</t>
  </si>
  <si>
    <t>TAREFA</t>
  </si>
  <si>
    <t>RELATÓRIO / SERVIÇO DE CAMPO</t>
  </si>
  <si>
    <t>MESES
CORRIDOS</t>
  </si>
  <si>
    <t>VALOR DA PARCELA (R$)</t>
  </si>
  <si>
    <t>APOIO À FISCALIZAÇÃO E SUPERVISÃO TÉCNICA DE OBRAS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</si>
  <si>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</si>
  <si>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</si>
  <si>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</si>
  <si>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</si>
  <si>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</si>
  <si>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</si>
  <si>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</si>
  <si>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</si>
  <si>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</si>
  <si>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</si>
  <si>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</si>
  <si>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</si>
  <si>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Profissional</t>
  </si>
  <si>
    <t>Mês de Referência - Dias úteis</t>
  </si>
  <si>
    <t>DIAS TRABALHADOS EM</t>
  </si>
  <si>
    <t>PERNOITES</t>
  </si>
  <si>
    <t>Memória de cálculo mensal (22 DIAS ÚTEIS)</t>
  </si>
  <si>
    <t>Semana 1</t>
  </si>
  <si>
    <t>Semana 2</t>
  </si>
  <si>
    <t>Semana 3</t>
  </si>
  <si>
    <t>Semana 4</t>
  </si>
  <si>
    <t>Início da Semana 5</t>
  </si>
  <si>
    <t>Escritório</t>
  </si>
  <si>
    <t>Campo</t>
  </si>
  <si>
    <t>Itens</t>
  </si>
  <si>
    <t>Escritório da Empresa em Bom Jesus da Lapa/BA</t>
  </si>
  <si>
    <t>Equipe</t>
  </si>
  <si>
    <t>un.</t>
  </si>
  <si>
    <t>Visitas Técnicas</t>
  </si>
  <si>
    <t>Técnico especializado</t>
  </si>
  <si>
    <t>Fiscalização/Supervisão Técnica</t>
  </si>
  <si>
    <t>Medição</t>
  </si>
  <si>
    <t>Desenhista/Cadista</t>
  </si>
  <si>
    <t>1.4</t>
  </si>
  <si>
    <t>1.5</t>
  </si>
  <si>
    <t>Serviços topográficos</t>
  </si>
  <si>
    <t>Motorista</t>
  </si>
  <si>
    <t>1.6</t>
  </si>
  <si>
    <t>1.7</t>
  </si>
  <si>
    <t>Acompanhar equipe de topografia</t>
  </si>
  <si>
    <t>1.8</t>
  </si>
  <si>
    <t>1.9</t>
  </si>
  <si>
    <t>Amostragem</t>
  </si>
  <si>
    <t>Equipamentos</t>
  </si>
  <si>
    <t>Veículo leve</t>
  </si>
  <si>
    <t>Escritório de Apoio Técnico de Irecê/BA</t>
  </si>
  <si>
    <t>Veículo leve pick-up</t>
  </si>
  <si>
    <t>Cesta de Instalações de Topografia</t>
  </si>
  <si>
    <t>Unidade Descentralizada de Vitória da Conquista/BA</t>
  </si>
  <si>
    <t>Laboratório de Solos</t>
  </si>
  <si>
    <t>Instalações</t>
  </si>
  <si>
    <t>Mobiliário</t>
  </si>
  <si>
    <t>LEGENDA:</t>
  </si>
  <si>
    <t>Cesta de Custos de Escritório</t>
  </si>
  <si>
    <t>Trabalho em escritório</t>
  </si>
  <si>
    <t>Trabalho em campo</t>
  </si>
  <si>
    <t>CUSTO MENSAL DE VEÍCULO LEVE -  53 kW (sem motorista)</t>
  </si>
  <si>
    <t>h</t>
  </si>
  <si>
    <t>R$/h</t>
  </si>
  <si>
    <t>Horas Operativas</t>
  </si>
  <si>
    <t>Horas Improdutivas</t>
  </si>
  <si>
    <t>Horas globais/mês trabalháveis (*)</t>
  </si>
  <si>
    <t>CUSTO MENSAL DE VEÍCULO LEVE picape 4x4 - 147 kW (sem motorista)</t>
  </si>
  <si>
    <t>(*) Fonte: Manual de Custos de Infraestrutura de Transportes - Volume 01, pág. 53</t>
  </si>
  <si>
    <t xml:space="preserve">PLANILHA DE DETALHAMENTO DO BDI </t>
  </si>
  <si>
    <t>MEMÓRIA DE CALCULO DO BDI  DOS SERVIÇOS - NÃO DESONERADO</t>
  </si>
  <si>
    <t>TABELA DE PREÇOS DE CONSULTORIA (desde 16/08/2022)</t>
  </si>
  <si>
    <t>Benefícios e Despesas Indiretas</t>
  </si>
  <si>
    <t>Despesas Indiretas</t>
  </si>
  <si>
    <t>% sobre PV</t>
  </si>
  <si>
    <t>% sobre CD</t>
  </si>
  <si>
    <t>Administração Central</t>
  </si>
  <si>
    <t>Despesas Financeiras</t>
  </si>
  <si>
    <t>Riscos</t>
  </si>
  <si>
    <t>Seguros e Garantias Contratuais</t>
  </si>
  <si>
    <t>Lucro</t>
  </si>
  <si>
    <t>PIS</t>
  </si>
  <si>
    <t>COFINS</t>
  </si>
  <si>
    <t>ISSQN</t>
  </si>
  <si>
    <t>FATOR K (ou, "BDI", CONFORME TC-DNIT)</t>
  </si>
  <si>
    <t>DETALHAMENTO DOS ENCARGOS SOCIAIS (%) - sem desoneração</t>
  </si>
  <si>
    <t>SEM DESONERAÇÃO - MENSALISTA</t>
  </si>
  <si>
    <t>Auxiliar Administrativo (P9806)</t>
  </si>
  <si>
    <t>Auxiliar de topografia (P9950)</t>
  </si>
  <si>
    <t>Engenheiro (P9812)</t>
  </si>
  <si>
    <t>Engenheiro supervisor (P9819)</t>
  </si>
  <si>
    <t>Técnico especializado (P9867)</t>
  </si>
  <si>
    <t>Topógrafo (P9949)</t>
  </si>
  <si>
    <t>Motorista de veículo leve (P9948)</t>
  </si>
  <si>
    <t>GRUPO A</t>
  </si>
  <si>
    <t>A1</t>
  </si>
  <si>
    <t>Previdência Social</t>
  </si>
  <si>
    <t>A2</t>
  </si>
  <si>
    <t>FGTS</t>
  </si>
  <si>
    <t>A3</t>
  </si>
  <si>
    <t>Salário Educação</t>
  </si>
  <si>
    <t>A4</t>
  </si>
  <si>
    <t>SESI</t>
  </si>
  <si>
    <t>A5</t>
  </si>
  <si>
    <t>SENAI/SEBRAE</t>
  </si>
  <si>
    <t>A6</t>
  </si>
  <si>
    <t>INCRA</t>
  </si>
  <si>
    <t>A7</t>
  </si>
  <si>
    <t>Seguro contra Risco e Acidente de Trabalho (INSS)</t>
  </si>
  <si>
    <t>A8</t>
  </si>
  <si>
    <t>Seconci</t>
  </si>
  <si>
    <t>-</t>
  </si>
  <si>
    <t>A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</si>
  <si>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</si>
  <si>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</si>
  <si>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</si>
  <si>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</si>
  <si>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</si>
  <si>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</si>
  <si>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</si>
  <si>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</si>
  <si>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</si>
  <si>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</si>
  <si>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</si>
  <si>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</si>
  <si>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</si>
  <si>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</si>
  <si>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Auxílio Acidente de Trabalho</t>
  </si>
  <si>
    <t>B8</t>
  </si>
  <si>
    <t>Férias Gozadas</t>
  </si>
  <si>
    <t>B9</t>
  </si>
  <si>
    <t>Férias em Licença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</si>
  <si>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</si>
  <si>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</si>
  <si>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</si>
  <si>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</si>
  <si>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</si>
  <si>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</si>
  <si>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</si>
  <si>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</si>
  <si>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Indenizadas+1/3</t>
  </si>
  <si>
    <t>C4</t>
  </si>
  <si>
    <t>Depósito Rescisão Sem Justa Causa</t>
  </si>
  <si>
    <t>C5</t>
  </si>
  <si>
    <t>Indenização Adicional (Lei nº 7.238/1984)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</si>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</sst>
</file>

<file path=xl/styles.xml><?xml version="1.0" encoding="utf-8"?>
<styleSheet xmlns="http://schemas.openxmlformats.org/spreadsheetml/2006/main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_)"/>
    <numFmt numFmtId="165" formatCode="#,##0.00&quot;  &quot;"/>
    <numFmt numFmtId="166" formatCode="#,##0.0000;[Red]\-#,##0.0000"/>
    <numFmt numFmtId="167" formatCode="_(&quot;R$ &quot;* #,##0.00_);_(&quot;R$ &quot;* \(#,##0.00\);_(&quot;R$ &quot;* &quot;-&quot;??_);_(@_)"/>
    <numFmt numFmtId="168" formatCode="00"/>
    <numFmt numFmtId="169" formatCode="#,##0.00\ ;&quot; (&quot;#,##0.00\);&quot; -&quot;#\ ;@\ "/>
    <numFmt numFmtId="170" formatCode="0.00_);[Red]\(0.00\)"/>
    <numFmt numFmtId="171" formatCode="0.00_ "/>
    <numFmt numFmtId="172" formatCode="_-* #,##0_-;\-* #,##0_-;_-* &quot;-&quot;??_-;_-@_-"/>
    <numFmt numFmtId="173" formatCode="_-* #,##0.00_-;\-* #,##0.00_-;_-* \-??_-;_-@_-"/>
    <numFmt numFmtId="174" formatCode="0.000000"/>
    <numFmt numFmtId="175" formatCode="_-* #,##0.0000_-;\-* #,##0.0000_-;_-* &quot;-&quot;??.00_-;_-@_-"/>
    <numFmt numFmtId="176" formatCode="0_)"/>
    <numFmt numFmtId="177" formatCode="dd/mm/yyyy;@"/>
    <numFmt numFmtId="178" formatCode="#,##0.0000"/>
    <numFmt numFmtId="179" formatCode="0.0000_ "/>
    <numFmt numFmtId="180" formatCode="_(* #,##0.00_);_(* \(#,##0.00\);_(* \-??_);_(@_)"/>
    <numFmt numFmtId="181" formatCode="&quot;R$&quot;\ #,##0.00_);[Red]\(&quot;R$&quot;\ #,###.00\)"/>
    <numFmt numFmtId="182" formatCode="&quot;R$&quot;#,##0.00_);[Red]\(&quot;R$&quot;#,##0.00\)"/>
  </numFmts>
  <fonts count="49">
    <font>
      <sz val="10"/>
      <name val="MS Sans Serif"/>
      <charset val="134"/>
    </font>
    <font>
      <sz val="10"/>
      <name val="Arial"/>
      <charset val="134"/>
    </font>
    <font>
      <sz val="9"/>
      <name val="Arial"/>
      <charset val="134"/>
    </font>
    <font>
      <b/>
      <sz val="8"/>
      <name val="Arial"/>
      <charset val="134"/>
    </font>
    <font>
      <sz val="11"/>
      <name val="Arial"/>
      <charset val="134"/>
    </font>
    <font>
      <b/>
      <sz val="14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6"/>
      <name val="Arial"/>
      <charset val="134"/>
    </font>
    <font>
      <b/>
      <sz val="11"/>
      <name val="Arial"/>
      <charset val="134"/>
    </font>
    <font>
      <b/>
      <sz val="11"/>
      <color theme="0"/>
      <name val="Arial"/>
      <charset val="134"/>
    </font>
    <font>
      <b/>
      <sz val="10"/>
      <name val="Arial"/>
      <charset val="134"/>
    </font>
    <font>
      <sz val="10"/>
      <color theme="1"/>
      <name val="Arial"/>
      <charset val="134"/>
    </font>
    <font>
      <b/>
      <sz val="10"/>
      <name val="MS Sans Serif"/>
      <charset val="134"/>
    </font>
    <font>
      <b/>
      <sz val="8"/>
      <name val="MS Sans Serif"/>
      <charset val="134"/>
    </font>
    <font>
      <b/>
      <sz val="7"/>
      <name val="MS Sans Serif"/>
      <charset val="134"/>
    </font>
    <font>
      <b/>
      <sz val="9"/>
      <name val="MS Sans Serif"/>
      <charset val="134"/>
    </font>
    <font>
      <b/>
      <u/>
      <sz val="12"/>
      <name val="Times New Roman"/>
      <charset val="1"/>
    </font>
    <font>
      <sz val="12"/>
      <name val="Times New Roman"/>
      <charset val="1"/>
    </font>
    <font>
      <b/>
      <sz val="12"/>
      <color rgb="FFFFFFFF"/>
      <name val="Times New Roman"/>
      <charset val="1"/>
    </font>
    <font>
      <sz val="10"/>
      <color theme="1"/>
      <name val="MS Sans Serif"/>
      <charset val="134"/>
    </font>
    <font>
      <b/>
      <sz val="12"/>
      <color theme="1"/>
      <name val="Times New Roman"/>
      <charset val="1"/>
    </font>
    <font>
      <sz val="12"/>
      <name val="Times New Roman"/>
      <charset val="134"/>
    </font>
    <font>
      <sz val="11"/>
      <name val="MS Sans Serif"/>
      <charset val="134"/>
    </font>
    <font>
      <sz val="8"/>
      <name val="Arial"/>
      <charset val="134"/>
    </font>
    <font>
      <sz val="8"/>
      <color indexed="8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8"/>
      <color rgb="FFFF0000"/>
      <name val="Arial"/>
      <charset val="134"/>
    </font>
    <font>
      <b/>
      <sz val="10"/>
      <color rgb="FF000000"/>
      <name val="Times New Roman"/>
      <charset val="134"/>
    </font>
    <font>
      <b/>
      <sz val="8"/>
      <color indexed="8"/>
      <name val="Arial"/>
      <charset val="134"/>
    </font>
    <font>
      <b/>
      <sz val="9"/>
      <color indexed="8"/>
      <name val="Arial"/>
      <charset val="134"/>
    </font>
    <font>
      <b/>
      <sz val="10"/>
      <color theme="1"/>
      <name val="Arial"/>
      <charset val="134"/>
    </font>
    <font>
      <b/>
      <sz val="9"/>
      <name val="Arial"/>
      <charset val="134"/>
    </font>
    <font>
      <sz val="8"/>
      <color theme="1"/>
      <name val="Arial"/>
      <charset val="134"/>
    </font>
    <font>
      <b/>
      <sz val="10"/>
      <color indexed="8"/>
      <name val="Arial"/>
      <charset val="134"/>
    </font>
    <font>
      <sz val="8"/>
      <name val="MS Sans Serif"/>
      <charset val="134"/>
    </font>
    <font>
      <sz val="14"/>
      <name val="Arial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1"/>
      <color indexed="8"/>
      <name val="Arial"/>
      <charset val="134"/>
    </font>
    <font>
      <b/>
      <sz val="11"/>
      <color theme="1"/>
      <name val="Arial"/>
      <charset val="134"/>
    </font>
    <font>
      <sz val="10"/>
      <color theme="1"/>
      <name val="Calibri"/>
      <charset val="134"/>
      <scheme val="minor"/>
    </font>
    <font>
      <sz val="11"/>
      <color indexed="8"/>
      <name val="Calibri"/>
      <charset val="134"/>
    </font>
    <font>
      <sz val="8"/>
      <name val="Helv"/>
      <charset val="134"/>
    </font>
    <font>
      <sz val="11"/>
      <color theme="1"/>
      <name val="Calibri"/>
      <charset val="134"/>
      <scheme val="minor"/>
    </font>
    <font>
      <b/>
      <sz val="15"/>
      <color indexed="62"/>
      <name val="Calibri"/>
      <charset val="134"/>
    </font>
    <font>
      <sz val="11"/>
      <color indexed="8"/>
      <name val="Calibri"/>
      <charset val="134"/>
      <scheme val="minor"/>
    </font>
    <font>
      <sz val="10"/>
      <name val="MS Sans Serif"/>
      <charset val="13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F497D"/>
        <bgColor rgb="FF333399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47"/>
      </patternFill>
    </fill>
    <fill>
      <patternFill patternType="solid">
        <fgColor theme="0" tint="-0.14999847407452621"/>
        <bgColor indexed="64"/>
      </patternFill>
    </fill>
    <fill>
      <patternFill patternType="lightUp"/>
    </fill>
    <fill>
      <patternFill patternType="solid">
        <fgColor theme="2" tint="-0.249977111117893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FFFFFF"/>
        <bgColor indexed="64"/>
      </patternFill>
    </fill>
  </fills>
  <borders count="19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double">
        <color indexed="8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auto="1"/>
      </right>
      <top/>
      <bottom style="double">
        <color indexed="8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medium">
        <color auto="1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auto="1"/>
      </right>
      <top/>
      <bottom style="double">
        <color indexed="8"/>
      </bottom>
      <diagonal/>
    </border>
    <border>
      <left style="medium">
        <color auto="1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double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double">
        <color indexed="8"/>
      </bottom>
      <diagonal/>
    </border>
    <border>
      <left style="medium">
        <color auto="1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indexed="8"/>
      </bottom>
      <diagonal/>
    </border>
    <border>
      <left style="thin">
        <color auto="1"/>
      </left>
      <right/>
      <top style="double">
        <color indexed="8"/>
      </top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  <diagonal/>
    </border>
    <border>
      <left/>
      <right style="medium">
        <color auto="1"/>
      </right>
      <top/>
      <bottom style="double">
        <color indexed="8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double">
        <color indexed="8"/>
      </top>
      <bottom/>
      <diagonal/>
    </border>
    <border>
      <left/>
      <right style="medium">
        <color indexed="8"/>
      </right>
      <top style="medium">
        <color auto="1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auto="1"/>
      </top>
      <bottom style="double">
        <color indexed="8"/>
      </bottom>
      <diagonal/>
    </border>
    <border>
      <left style="medium">
        <color auto="1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/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 style="double">
        <color auto="1"/>
      </bottom>
      <diagonal/>
    </border>
    <border>
      <left/>
      <right/>
      <top style="thin">
        <color indexed="8"/>
      </top>
      <bottom style="double">
        <color auto="1"/>
      </bottom>
      <diagonal/>
    </border>
    <border>
      <left/>
      <right style="thin">
        <color indexed="8"/>
      </right>
      <top style="thin">
        <color indexed="8"/>
      </top>
      <bottom style="double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auto="1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auto="1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ck">
        <color indexed="48"/>
      </bottom>
      <diagonal/>
    </border>
  </borders>
  <cellStyleXfs count="18">
    <xf numFmtId="0" fontId="0" fillId="0" borderId="0"/>
    <xf numFmtId="40" fontId="48" fillId="0" borderId="0" applyFill="0" applyBorder="0" applyAlignment="0" applyProtection="0"/>
    <xf numFmtId="9" fontId="42" fillId="0" borderId="0" applyFont="0" applyFill="0" applyBorder="0" applyAlignment="0" applyProtection="0">
      <alignment vertical="center"/>
    </xf>
    <xf numFmtId="44" fontId="4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44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6" fillId="0" borderId="196" applyNumberFormat="0" applyFill="0" applyAlignment="0" applyProtection="0"/>
    <xf numFmtId="0" fontId="1" fillId="0" borderId="0"/>
    <xf numFmtId="43" fontId="4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6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8" applyFont="1" applyFill="1" applyBorder="1" applyAlignment="1"/>
    <xf numFmtId="0" fontId="1" fillId="2" borderId="0" xfId="8" applyFont="1" applyFill="1" applyBorder="1" applyAlignment="1">
      <alignment wrapText="1"/>
    </xf>
    <xf numFmtId="0" fontId="0" fillId="2" borderId="1" xfId="0" applyFill="1" applyBorder="1"/>
    <xf numFmtId="0" fontId="0" fillId="2" borderId="3" xfId="0" applyFill="1" applyBorder="1"/>
    <xf numFmtId="0" fontId="4" fillId="2" borderId="3" xfId="8" applyFont="1" applyFill="1" applyBorder="1" applyAlignment="1"/>
    <xf numFmtId="0" fontId="4" fillId="2" borderId="0" xfId="8" applyFont="1" applyFill="1" applyBorder="1" applyAlignment="1">
      <alignment wrapText="1"/>
    </xf>
    <xf numFmtId="0" fontId="4" fillId="2" borderId="0" xfId="8" applyFont="1" applyFill="1" applyBorder="1" applyAlignment="1"/>
    <xf numFmtId="0" fontId="6" fillId="2" borderId="3" xfId="15" applyFont="1" applyFill="1" applyBorder="1" applyAlignment="1">
      <alignment horizontal="center" vertical="center"/>
    </xf>
    <xf numFmtId="0" fontId="6" fillId="2" borderId="6" xfId="15" applyFont="1" applyFill="1" applyBorder="1" applyAlignment="1">
      <alignment horizontal="center" vertical="center" wrapText="1"/>
    </xf>
    <xf numFmtId="0" fontId="6" fillId="2" borderId="5" xfId="15" applyFont="1" applyFill="1" applyBorder="1" applyAlignment="1">
      <alignment horizontal="center" vertical="center"/>
    </xf>
    <xf numFmtId="0" fontId="7" fillId="2" borderId="7" xfId="8" applyFont="1" applyFill="1" applyBorder="1" applyAlignment="1"/>
    <xf numFmtId="0" fontId="6" fillId="2" borderId="5" xfId="15" applyFont="1" applyFill="1" applyBorder="1" applyAlignment="1">
      <alignment horizontal="center" vertical="center" wrapText="1"/>
    </xf>
    <xf numFmtId="169" fontId="6" fillId="2" borderId="10" xfId="15" applyNumberFormat="1" applyFont="1" applyFill="1" applyBorder="1" applyAlignment="1">
      <alignment horizontal="center" vertical="center" wrapText="1"/>
    </xf>
    <xf numFmtId="0" fontId="7" fillId="2" borderId="11" xfId="15" applyFont="1" applyFill="1" applyBorder="1" applyAlignment="1">
      <alignment horizontal="center"/>
    </xf>
    <xf numFmtId="0" fontId="7" fillId="2" borderId="12" xfId="15" applyFont="1" applyFill="1" applyBorder="1" applyAlignment="1">
      <alignment wrapText="1"/>
    </xf>
    <xf numFmtId="169" fontId="7" fillId="3" borderId="12" xfId="15" applyNumberFormat="1" applyFont="1" applyFill="1" applyBorder="1" applyAlignment="1">
      <alignment horizontal="center" vertical="center"/>
    </xf>
    <xf numFmtId="0" fontId="7" fillId="2" borderId="13" xfId="15" applyFont="1" applyFill="1" applyBorder="1" applyAlignment="1">
      <alignment horizontal="center"/>
    </xf>
    <xf numFmtId="0" fontId="7" fillId="2" borderId="14" xfId="15" applyFont="1" applyFill="1" applyBorder="1" applyAlignment="1">
      <alignment wrapText="1"/>
    </xf>
    <xf numFmtId="169" fontId="7" fillId="3" borderId="14" xfId="15" applyNumberFormat="1" applyFont="1" applyFill="1" applyBorder="1" applyAlignment="1">
      <alignment horizontal="center" vertical="center"/>
    </xf>
    <xf numFmtId="0" fontId="6" fillId="2" borderId="9" xfId="15" applyFont="1" applyFill="1" applyBorder="1" applyAlignment="1">
      <alignment horizontal="center" vertical="center"/>
    </xf>
    <xf numFmtId="0" fontId="6" fillId="2" borderId="10" xfId="15" applyFont="1" applyFill="1" applyBorder="1" applyAlignment="1">
      <alignment vertical="center" wrapText="1"/>
    </xf>
    <xf numFmtId="169" fontId="6" fillId="4" borderId="10" xfId="15" applyNumberFormat="1" applyFont="1" applyFill="1" applyBorder="1" applyAlignment="1">
      <alignment horizontal="center" vertical="center"/>
    </xf>
    <xf numFmtId="0" fontId="7" fillId="2" borderId="15" xfId="15" applyFont="1" applyFill="1" applyBorder="1" applyAlignment="1">
      <alignment horizontal="center"/>
    </xf>
    <xf numFmtId="0" fontId="7" fillId="2" borderId="16" xfId="15" applyFont="1" applyFill="1" applyBorder="1" applyAlignment="1">
      <alignment wrapText="1"/>
    </xf>
    <xf numFmtId="169" fontId="7" fillId="3" borderId="17" xfId="15" applyNumberFormat="1" applyFont="1" applyFill="1" applyBorder="1" applyAlignment="1">
      <alignment horizontal="center" vertical="center"/>
    </xf>
    <xf numFmtId="169" fontId="7" fillId="3" borderId="18" xfId="15" applyNumberFormat="1" applyFont="1" applyFill="1" applyBorder="1" applyAlignment="1">
      <alignment horizontal="center" vertical="center"/>
    </xf>
    <xf numFmtId="169" fontId="7" fillId="3" borderId="16" xfId="15" applyNumberFormat="1" applyFont="1" applyFill="1" applyBorder="1" applyAlignment="1">
      <alignment horizontal="center" vertical="center"/>
    </xf>
    <xf numFmtId="169" fontId="7" fillId="3" borderId="19" xfId="15" applyNumberFormat="1" applyFont="1" applyFill="1" applyBorder="1" applyAlignment="1">
      <alignment horizontal="center" vertical="center"/>
    </xf>
    <xf numFmtId="0" fontId="7" fillId="2" borderId="15" xfId="15" applyFont="1" applyFill="1" applyBorder="1" applyAlignment="1">
      <alignment horizontal="center" vertical="center"/>
    </xf>
    <xf numFmtId="0" fontId="7" fillId="2" borderId="16" xfId="15" applyFont="1" applyFill="1" applyBorder="1" applyAlignment="1">
      <alignment horizontal="justify" vertical="center" wrapText="1"/>
    </xf>
    <xf numFmtId="169" fontId="6" fillId="4" borderId="21" xfId="15" applyNumberFormat="1" applyFont="1" applyFill="1" applyBorder="1" applyAlignment="1">
      <alignment horizontal="center" vertical="center"/>
    </xf>
    <xf numFmtId="0" fontId="4" fillId="2" borderId="23" xfId="8" applyFont="1" applyFill="1" applyBorder="1" applyAlignment="1"/>
    <xf numFmtId="0" fontId="6" fillId="2" borderId="24" xfId="15" applyFont="1" applyFill="1" applyBorder="1" applyAlignment="1">
      <alignment horizontal="center" vertical="center"/>
    </xf>
    <xf numFmtId="169" fontId="6" fillId="2" borderId="25" xfId="15" applyNumberFormat="1" applyFont="1" applyFill="1" applyBorder="1" applyAlignment="1">
      <alignment horizontal="center" vertical="center" wrapText="1"/>
    </xf>
    <xf numFmtId="169" fontId="7" fillId="3" borderId="26" xfId="15" applyNumberFormat="1" applyFont="1" applyFill="1" applyBorder="1" applyAlignment="1">
      <alignment horizontal="center" vertical="center"/>
    </xf>
    <xf numFmtId="169" fontId="7" fillId="3" borderId="27" xfId="15" applyNumberFormat="1" applyFont="1" applyFill="1" applyBorder="1" applyAlignment="1">
      <alignment horizontal="center" vertical="center"/>
    </xf>
    <xf numFmtId="169" fontId="6" fillId="4" borderId="25" xfId="15" applyNumberFormat="1" applyFont="1" applyFill="1" applyBorder="1" applyAlignment="1">
      <alignment horizontal="center" vertical="center"/>
    </xf>
    <xf numFmtId="169" fontId="7" fillId="3" borderId="28" xfId="15" applyNumberFormat="1" applyFont="1" applyFill="1" applyBorder="1" applyAlignment="1">
      <alignment horizontal="center" vertical="center"/>
    </xf>
    <xf numFmtId="169" fontId="6" fillId="4" borderId="29" xfId="15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0" fillId="2" borderId="2" xfId="0" applyFill="1" applyBorder="1"/>
    <xf numFmtId="0" fontId="0" fillId="2" borderId="22" xfId="0" applyFill="1" applyBorder="1"/>
    <xf numFmtId="0" fontId="2" fillId="2" borderId="0" xfId="0" applyFont="1" applyFill="1" applyBorder="1" applyAlignment="1">
      <alignment horizontal="left" vertical="center"/>
    </xf>
    <xf numFmtId="0" fontId="0" fillId="2" borderId="23" xfId="0" applyFill="1" applyBorder="1"/>
    <xf numFmtId="0" fontId="3" fillId="2" borderId="0" xfId="0" applyFont="1" applyFill="1" applyBorder="1" applyAlignment="1">
      <alignment vertical="center"/>
    </xf>
    <xf numFmtId="0" fontId="6" fillId="2" borderId="9" xfId="8" applyFont="1" applyFill="1" applyBorder="1" applyAlignment="1">
      <alignment vertical="center"/>
    </xf>
    <xf numFmtId="0" fontId="6" fillId="2" borderId="33" xfId="8" applyFont="1" applyFill="1" applyBorder="1" applyAlignment="1">
      <alignment vertical="center" wrapText="1"/>
    </xf>
    <xf numFmtId="49" fontId="10" fillId="2" borderId="0" xfId="10" applyNumberFormat="1" applyFont="1" applyFill="1" applyBorder="1" applyAlignment="1">
      <alignment horizontal="center" vertical="center"/>
    </xf>
    <xf numFmtId="0" fontId="1" fillId="2" borderId="23" xfId="8" applyFont="1" applyFill="1" applyBorder="1" applyAlignment="1"/>
    <xf numFmtId="10" fontId="11" fillId="2" borderId="0" xfId="16" applyNumberFormat="1" applyFont="1" applyFill="1" applyBorder="1" applyAlignment="1">
      <alignment horizontal="center" vertical="center"/>
    </xf>
    <xf numFmtId="0" fontId="1" fillId="2" borderId="3" xfId="8" applyFont="1" applyFill="1" applyBorder="1" applyAlignment="1"/>
    <xf numFmtId="0" fontId="11" fillId="2" borderId="20" xfId="10" applyFont="1" applyFill="1" applyBorder="1" applyAlignment="1">
      <alignment horizontal="center" vertical="center"/>
    </xf>
    <xf numFmtId="0" fontId="11" fillId="2" borderId="39" xfId="10" applyFont="1" applyFill="1" applyBorder="1" applyAlignment="1">
      <alignment horizontal="center" vertical="center"/>
    </xf>
    <xf numFmtId="0" fontId="11" fillId="2" borderId="29" xfId="10" applyFont="1" applyFill="1" applyBorder="1" applyAlignment="1">
      <alignment horizontal="center" vertical="center"/>
    </xf>
    <xf numFmtId="0" fontId="1" fillId="2" borderId="3" xfId="10" applyFont="1" applyFill="1" applyBorder="1" applyAlignment="1">
      <alignment vertical="center"/>
    </xf>
    <xf numFmtId="0" fontId="12" fillId="2" borderId="0" xfId="10" applyFont="1" applyFill="1" applyBorder="1"/>
    <xf numFmtId="0" fontId="12" fillId="2" borderId="23" xfId="10" applyFont="1" applyFill="1" applyBorder="1"/>
    <xf numFmtId="0" fontId="1" fillId="2" borderId="40" xfId="10" applyFont="1" applyFill="1" applyBorder="1" applyAlignment="1">
      <alignment horizontal="left" vertical="center" wrapText="1"/>
    </xf>
    <xf numFmtId="170" fontId="12" fillId="2" borderId="41" xfId="2" applyNumberFormat="1" applyFont="1" applyFill="1" applyBorder="1" applyAlignment="1" applyProtection="1">
      <alignment horizontal="center"/>
    </xf>
    <xf numFmtId="170" fontId="12" fillId="2" borderId="42" xfId="2" applyNumberFormat="1" applyFont="1" applyFill="1" applyBorder="1" applyAlignment="1" applyProtection="1">
      <alignment horizontal="center"/>
    </xf>
    <xf numFmtId="10" fontId="1" fillId="2" borderId="9" xfId="16" applyNumberFormat="1" applyFont="1" applyFill="1" applyBorder="1" applyAlignment="1">
      <alignment horizontal="left" vertical="center"/>
    </xf>
    <xf numFmtId="170" fontId="1" fillId="2" borderId="8" xfId="2" applyNumberFormat="1" applyFont="1" applyFill="1" applyBorder="1" applyAlignment="1">
      <alignment horizontal="center" vertical="center"/>
    </xf>
    <xf numFmtId="170" fontId="1" fillId="2" borderId="25" xfId="2" applyNumberFormat="1" applyFont="1" applyFill="1" applyBorder="1" applyAlignment="1">
      <alignment horizontal="center" vertical="center"/>
    </xf>
    <xf numFmtId="10" fontId="1" fillId="2" borderId="20" xfId="16" applyNumberFormat="1" applyFont="1" applyFill="1" applyBorder="1" applyAlignment="1">
      <alignment horizontal="left" vertical="center"/>
    </xf>
    <xf numFmtId="170" fontId="1" fillId="2" borderId="39" xfId="2" applyNumberFormat="1" applyFont="1" applyFill="1" applyBorder="1" applyAlignment="1">
      <alignment horizontal="center" vertical="center"/>
    </xf>
    <xf numFmtId="170" fontId="1" fillId="2" borderId="29" xfId="2" applyNumberFormat="1" applyFont="1" applyFill="1" applyBorder="1" applyAlignment="1">
      <alignment horizontal="center" vertical="center"/>
    </xf>
    <xf numFmtId="0" fontId="1" fillId="2" borderId="43" xfId="8" applyFont="1" applyFill="1" applyBorder="1" applyAlignment="1"/>
    <xf numFmtId="0" fontId="1" fillId="2" borderId="44" xfId="8" applyFont="1" applyFill="1" applyBorder="1" applyAlignment="1">
      <alignment horizontal="center"/>
    </xf>
    <xf numFmtId="171" fontId="1" fillId="2" borderId="45" xfId="8" applyNumberFormat="1" applyFont="1" applyFill="1" applyBorder="1" applyAlignment="1">
      <alignment horizontal="center"/>
    </xf>
    <xf numFmtId="0" fontId="1" fillId="2" borderId="40" xfId="8" applyFont="1" applyFill="1" applyBorder="1" applyAlignment="1"/>
    <xf numFmtId="171" fontId="1" fillId="2" borderId="46" xfId="8" applyNumberFormat="1" applyFont="1" applyFill="1" applyBorder="1" applyAlignment="1">
      <alignment horizontal="center"/>
    </xf>
    <xf numFmtId="171" fontId="1" fillId="2" borderId="42" xfId="8" applyNumberFormat="1" applyFont="1" applyFill="1" applyBorder="1" applyAlignment="1">
      <alignment horizontal="center"/>
    </xf>
    <xf numFmtId="0" fontId="1" fillId="2" borderId="9" xfId="8" applyFont="1" applyFill="1" applyBorder="1" applyAlignment="1"/>
    <xf numFmtId="171" fontId="1" fillId="2" borderId="10" xfId="8" applyNumberFormat="1" applyFont="1" applyFill="1" applyBorder="1" applyAlignment="1">
      <alignment horizontal="center"/>
    </xf>
    <xf numFmtId="171" fontId="1" fillId="2" borderId="25" xfId="8" applyNumberFormat="1" applyFont="1" applyFill="1" applyBorder="1" applyAlignment="1">
      <alignment horizontal="center"/>
    </xf>
    <xf numFmtId="0" fontId="1" fillId="2" borderId="20" xfId="8" applyFont="1" applyFill="1" applyBorder="1" applyAlignment="1"/>
    <xf numFmtId="171" fontId="1" fillId="2" borderId="21" xfId="8" applyNumberFormat="1" applyFont="1" applyFill="1" applyBorder="1" applyAlignment="1">
      <alignment horizontal="center"/>
    </xf>
    <xf numFmtId="171" fontId="1" fillId="2" borderId="29" xfId="8" applyNumberFormat="1" applyFont="1" applyFill="1" applyBorder="1" applyAlignment="1">
      <alignment horizontal="center"/>
    </xf>
    <xf numFmtId="0" fontId="0" fillId="2" borderId="0" xfId="0" applyFill="1" applyBorder="1"/>
    <xf numFmtId="0" fontId="1" fillId="2" borderId="33" xfId="8" applyFont="1" applyFill="1" applyBorder="1" applyAlignment="1"/>
    <xf numFmtId="0" fontId="0" fillId="2" borderId="43" xfId="0" applyFill="1" applyBorder="1"/>
    <xf numFmtId="170" fontId="0" fillId="2" borderId="47" xfId="0" applyNumberFormat="1" applyFill="1" applyBorder="1" applyAlignment="1">
      <alignment horizontal="center"/>
    </xf>
    <xf numFmtId="170" fontId="0" fillId="2" borderId="45" xfId="0" applyNumberFormat="1" applyFill="1" applyBorder="1" applyAlignment="1">
      <alignment horizontal="center"/>
    </xf>
    <xf numFmtId="0" fontId="0" fillId="2" borderId="35" xfId="0" applyFill="1" applyBorder="1"/>
    <xf numFmtId="0" fontId="0" fillId="2" borderId="0" xfId="0" applyFill="1" applyAlignment="1">
      <alignment horizontal="center"/>
    </xf>
    <xf numFmtId="0" fontId="4" fillId="2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0" fillId="7" borderId="10" xfId="0" applyFont="1" applyFill="1" applyBorder="1"/>
    <xf numFmtId="0" fontId="0" fillId="8" borderId="9" xfId="0" applyFill="1" applyBorder="1" applyAlignment="1">
      <alignment horizontal="center"/>
    </xf>
    <xf numFmtId="0" fontId="13" fillId="8" borderId="10" xfId="0" applyFont="1" applyFill="1" applyBorder="1"/>
    <xf numFmtId="0" fontId="0" fillId="8" borderId="10" xfId="0" applyFill="1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9" borderId="10" xfId="0" applyFill="1" applyBorder="1"/>
    <xf numFmtId="0" fontId="0" fillId="10" borderId="10" xfId="0" applyFill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0" fillId="10" borderId="21" xfId="0" applyFill="1" applyBorder="1"/>
    <xf numFmtId="0" fontId="0" fillId="9" borderId="21" xfId="0" applyFill="1" applyBorder="1"/>
    <xf numFmtId="0" fontId="13" fillId="0" borderId="1" xfId="0" applyFont="1" applyBorder="1"/>
    <xf numFmtId="0" fontId="0" fillId="10" borderId="9" xfId="0" applyFill="1" applyBorder="1"/>
    <xf numFmtId="0" fontId="0" fillId="9" borderId="20" xfId="0" applyFill="1" applyBorder="1"/>
    <xf numFmtId="0" fontId="0" fillId="2" borderId="34" xfId="0" applyFill="1" applyBorder="1"/>
    <xf numFmtId="0" fontId="0" fillId="7" borderId="8" xfId="0" applyFont="1" applyFill="1" applyBorder="1"/>
    <xf numFmtId="0" fontId="0" fillId="8" borderId="8" xfId="0" applyFill="1" applyBorder="1"/>
    <xf numFmtId="0" fontId="0" fillId="10" borderId="8" xfId="0" applyFill="1" applyBorder="1"/>
    <xf numFmtId="0" fontId="0" fillId="9" borderId="8" xfId="0" applyFill="1" applyBorder="1"/>
    <xf numFmtId="0" fontId="0" fillId="9" borderId="39" xfId="0" applyFill="1" applyBorder="1"/>
    <xf numFmtId="0" fontId="0" fillId="7" borderId="9" xfId="0" applyFont="1" applyFill="1" applyBorder="1"/>
    <xf numFmtId="0" fontId="0" fillId="7" borderId="58" xfId="0" applyFont="1" applyFill="1" applyBorder="1"/>
    <xf numFmtId="0" fontId="13" fillId="7" borderId="53" xfId="0" applyFont="1" applyFill="1" applyBorder="1" applyAlignment="1">
      <alignment wrapText="1"/>
    </xf>
    <xf numFmtId="0" fontId="13" fillId="7" borderId="54" xfId="0" applyFont="1" applyFill="1" applyBorder="1"/>
    <xf numFmtId="0" fontId="13" fillId="7" borderId="59" xfId="0" applyFont="1" applyFill="1" applyBorder="1"/>
    <xf numFmtId="0" fontId="0" fillId="8" borderId="9" xfId="0" applyFill="1" applyBorder="1"/>
    <xf numFmtId="0" fontId="0" fillId="8" borderId="58" xfId="0" applyFill="1" applyBorder="1"/>
    <xf numFmtId="0" fontId="0" fillId="0" borderId="25" xfId="0" applyBorder="1"/>
    <xf numFmtId="0" fontId="0" fillId="0" borderId="9" xfId="0" applyFill="1" applyBorder="1"/>
    <xf numFmtId="0" fontId="0" fillId="0" borderId="8" xfId="0" applyFill="1" applyBorder="1"/>
    <xf numFmtId="0" fontId="0" fillId="0" borderId="58" xfId="0" applyFill="1" applyBorder="1"/>
    <xf numFmtId="0" fontId="0" fillId="0" borderId="60" xfId="0" applyBorder="1" applyAlignment="1">
      <alignment vertical="center" wrapText="1"/>
    </xf>
    <xf numFmtId="172" fontId="0" fillId="0" borderId="10" xfId="0" applyNumberFormat="1" applyBorder="1"/>
    <xf numFmtId="0" fontId="0" fillId="0" borderId="20" xfId="0" applyFill="1" applyBorder="1"/>
    <xf numFmtId="0" fontId="0" fillId="0" borderId="39" xfId="0" applyFill="1" applyBorder="1"/>
    <xf numFmtId="0" fontId="0" fillId="0" borderId="61" xfId="0" applyFill="1" applyBorder="1"/>
    <xf numFmtId="0" fontId="0" fillId="2" borderId="2" xfId="0" applyNumberFormat="1" applyFill="1" applyBorder="1"/>
    <xf numFmtId="0" fontId="0" fillId="2" borderId="22" xfId="0" applyNumberFormat="1" applyFill="1" applyBorder="1"/>
    <xf numFmtId="0" fontId="0" fillId="0" borderId="29" xfId="0" applyBorder="1"/>
    <xf numFmtId="0" fontId="0" fillId="2" borderId="0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7" fillId="2" borderId="0" xfId="0" applyFont="1" applyFill="1" applyAlignment="1">
      <alignment horizontal="center" vertical="center" wrapText="1"/>
    </xf>
    <xf numFmtId="0" fontId="18" fillId="2" borderId="3" xfId="0" applyFont="1" applyFill="1" applyBorder="1" applyAlignment="1">
      <alignment wrapText="1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 applyAlignment="1"/>
    <xf numFmtId="0" fontId="18" fillId="2" borderId="23" xfId="0" applyFont="1" applyFill="1" applyBorder="1" applyAlignment="1"/>
    <xf numFmtId="0" fontId="18" fillId="2" borderId="3" xfId="0" applyFont="1" applyFill="1" applyBorder="1" applyAlignment="1">
      <alignment vertical="center" wrapText="1"/>
    </xf>
    <xf numFmtId="0" fontId="19" fillId="11" borderId="0" xfId="0" applyFont="1" applyFill="1" applyBorder="1" applyAlignment="1">
      <alignment horizontal="center" vertical="center"/>
    </xf>
    <xf numFmtId="0" fontId="19" fillId="11" borderId="2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vertical="center" wrapText="1"/>
    </xf>
    <xf numFmtId="173" fontId="18" fillId="2" borderId="0" xfId="1" applyNumberFormat="1" applyFont="1" applyFill="1" applyBorder="1" applyAlignment="1" applyProtection="1"/>
    <xf numFmtId="166" fontId="18" fillId="2" borderId="0" xfId="0" applyNumberFormat="1" applyFont="1" applyFill="1" applyBorder="1" applyAlignment="1"/>
    <xf numFmtId="173" fontId="18" fillId="2" borderId="23" xfId="0" applyNumberFormat="1" applyFont="1" applyFill="1" applyBorder="1" applyAlignment="1"/>
    <xf numFmtId="0" fontId="20" fillId="2" borderId="3" xfId="0" applyFont="1" applyFill="1" applyBorder="1" applyAlignment="1">
      <alignment vertical="center" wrapText="1"/>
    </xf>
    <xf numFmtId="173" fontId="18" fillId="2" borderId="0" xfId="0" applyNumberFormat="1" applyFont="1" applyFill="1" applyBorder="1" applyAlignment="1"/>
    <xf numFmtId="173" fontId="21" fillId="2" borderId="23" xfId="0" applyNumberFormat="1" applyFont="1" applyFill="1" applyBorder="1" applyAlignment="1"/>
    <xf numFmtId="166" fontId="22" fillId="2" borderId="0" xfId="1" applyNumberFormat="1" applyFont="1" applyFill="1" applyBorder="1" applyAlignment="1" applyProtection="1">
      <alignment horizontal="right" vertical="center"/>
      <protection locked="0"/>
    </xf>
    <xf numFmtId="166" fontId="22" fillId="0" borderId="0" xfId="1" applyNumberFormat="1" applyFont="1" applyBorder="1" applyAlignment="1" applyProtection="1">
      <alignment horizontal="right" vertical="center"/>
      <protection locked="0"/>
    </xf>
    <xf numFmtId="0" fontId="0" fillId="2" borderId="3" xfId="0" applyFill="1" applyBorder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2" borderId="0" xfId="0" applyFill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9" fontId="0" fillId="2" borderId="0" xfId="2" applyFont="1" applyFill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4" fillId="0" borderId="0" xfId="0" applyFont="1" applyAlignment="1">
      <alignment vertical="center"/>
    </xf>
    <xf numFmtId="0" fontId="24" fillId="0" borderId="0" xfId="6" applyFont="1" applyAlignment="1">
      <alignment vertical="center"/>
    </xf>
    <xf numFmtId="0" fontId="3" fillId="0" borderId="0" xfId="6" applyFont="1" applyAlignment="1">
      <alignment vertical="center"/>
    </xf>
    <xf numFmtId="0" fontId="1" fillId="0" borderId="0" xfId="6" applyFont="1" applyBorder="1" applyAlignment="1">
      <alignment vertical="center"/>
    </xf>
    <xf numFmtId="0" fontId="24" fillId="0" borderId="0" xfId="6" applyFont="1" applyBorder="1" applyAlignment="1">
      <alignment vertical="center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/>
    </xf>
    <xf numFmtId="0" fontId="24" fillId="13" borderId="65" xfId="0" applyFont="1" applyFill="1" applyBorder="1" applyAlignment="1">
      <alignment horizontal="left" vertical="center"/>
    </xf>
    <xf numFmtId="0" fontId="5" fillId="13" borderId="68" xfId="11" applyFont="1" applyFill="1" applyBorder="1" applyAlignment="1">
      <alignment horizontal="center" vertical="center"/>
    </xf>
    <xf numFmtId="0" fontId="24" fillId="0" borderId="69" xfId="6" applyFont="1" applyBorder="1" applyAlignment="1">
      <alignment horizontal="left" vertical="center"/>
    </xf>
    <xf numFmtId="0" fontId="24" fillId="0" borderId="70" xfId="6" applyFont="1" applyBorder="1" applyAlignment="1">
      <alignment horizontal="left" vertical="center"/>
    </xf>
    <xf numFmtId="0" fontId="24" fillId="0" borderId="71" xfId="6" applyFont="1" applyBorder="1" applyAlignment="1">
      <alignment horizontal="left" vertical="center"/>
    </xf>
    <xf numFmtId="0" fontId="24" fillId="0" borderId="72" xfId="6" applyFont="1" applyBorder="1" applyAlignment="1">
      <alignment vertical="center"/>
    </xf>
    <xf numFmtId="0" fontId="24" fillId="0" borderId="76" xfId="6" applyFont="1" applyBorder="1" applyAlignment="1">
      <alignment horizontal="left" vertical="center" indent="1"/>
    </xf>
    <xf numFmtId="0" fontId="24" fillId="0" borderId="77" xfId="6" applyFont="1" applyBorder="1" applyAlignment="1">
      <alignment horizontal="center" vertical="center"/>
    </xf>
    <xf numFmtId="0" fontId="3" fillId="0" borderId="78" xfId="6" applyFont="1" applyBorder="1" applyAlignment="1">
      <alignment horizontal="center" vertical="center"/>
    </xf>
    <xf numFmtId="0" fontId="3" fillId="0" borderId="79" xfId="6" applyFont="1" applyBorder="1" applyAlignment="1">
      <alignment horizontal="center" vertical="center"/>
    </xf>
    <xf numFmtId="0" fontId="3" fillId="0" borderId="82" xfId="6" applyFont="1" applyBorder="1" applyAlignment="1">
      <alignment horizontal="center" vertical="center" wrapText="1"/>
    </xf>
    <xf numFmtId="0" fontId="24" fillId="0" borderId="85" xfId="6" applyNumberFormat="1" applyFont="1" applyBorder="1" applyAlignment="1">
      <alignment horizontal="center" vertical="center"/>
    </xf>
    <xf numFmtId="0" fontId="24" fillId="0" borderId="86" xfId="0" applyFont="1" applyBorder="1" applyAlignment="1">
      <alignment vertical="center" wrapText="1"/>
    </xf>
    <xf numFmtId="49" fontId="24" fillId="0" borderId="86" xfId="6" applyNumberFormat="1" applyFont="1" applyBorder="1" applyAlignment="1">
      <alignment horizontal="left" vertical="center"/>
    </xf>
    <xf numFmtId="49" fontId="24" fillId="0" borderId="87" xfId="6" applyNumberFormat="1" applyFont="1" applyBorder="1" applyAlignment="1">
      <alignment horizontal="left" vertical="center"/>
    </xf>
    <xf numFmtId="49" fontId="24" fillId="0" borderId="88" xfId="6" applyNumberFormat="1" applyFont="1" applyBorder="1" applyAlignment="1">
      <alignment horizontal="left" vertical="center"/>
    </xf>
    <xf numFmtId="168" fontId="24" fillId="0" borderId="89" xfId="6" applyNumberFormat="1" applyFont="1" applyBorder="1" applyAlignment="1">
      <alignment horizontal="center" vertical="center"/>
    </xf>
    <xf numFmtId="165" fontId="24" fillId="0" borderId="89" xfId="6" applyNumberFormat="1" applyFont="1" applyBorder="1" applyAlignment="1">
      <alignment horizontal="right" vertical="center"/>
    </xf>
    <xf numFmtId="165" fontId="24" fillId="0" borderId="90" xfId="6" applyNumberFormat="1" applyFont="1" applyBorder="1" applyAlignment="1">
      <alignment horizontal="right" vertical="center"/>
    </xf>
    <xf numFmtId="0" fontId="24" fillId="0" borderId="85" xfId="6" applyFont="1" applyBorder="1" applyAlignment="1">
      <alignment horizontal="center" vertical="center"/>
    </xf>
    <xf numFmtId="165" fontId="11" fillId="0" borderId="92" xfId="6" applyNumberFormat="1" applyFont="1" applyBorder="1" applyAlignment="1">
      <alignment horizontal="right" vertical="center"/>
    </xf>
    <xf numFmtId="165" fontId="11" fillId="0" borderId="93" xfId="6" applyNumberFormat="1" applyFont="1" applyBorder="1" applyAlignment="1">
      <alignment horizontal="right" vertical="center"/>
    </xf>
    <xf numFmtId="0" fontId="24" fillId="0" borderId="96" xfId="6" applyFont="1" applyBorder="1" applyAlignment="1">
      <alignment vertical="center"/>
    </xf>
    <xf numFmtId="0" fontId="24" fillId="0" borderId="97" xfId="6" applyFont="1" applyBorder="1" applyAlignment="1">
      <alignment vertical="center"/>
    </xf>
    <xf numFmtId="0" fontId="24" fillId="0" borderId="102" xfId="6" applyFont="1" applyBorder="1" applyAlignment="1">
      <alignment vertical="center"/>
    </xf>
    <xf numFmtId="0" fontId="24" fillId="0" borderId="103" xfId="6" applyFont="1" applyBorder="1" applyAlignment="1">
      <alignment vertical="center"/>
    </xf>
    <xf numFmtId="0" fontId="24" fillId="0" borderId="106" xfId="6" applyFont="1" applyBorder="1" applyAlignment="1">
      <alignment horizontal="left" vertical="center"/>
    </xf>
    <xf numFmtId="0" fontId="24" fillId="0" borderId="3" xfId="6" applyFont="1" applyBorder="1" applyAlignment="1">
      <alignment horizontal="left" vertical="center"/>
    </xf>
    <xf numFmtId="0" fontId="24" fillId="0" borderId="0" xfId="6" applyFont="1" applyBorder="1" applyAlignment="1">
      <alignment horizontal="left" vertical="center"/>
    </xf>
    <xf numFmtId="14" fontId="24" fillId="0" borderId="0" xfId="6" applyNumberFormat="1" applyFont="1" applyBorder="1" applyAlignment="1">
      <alignment horizontal="center" vertical="center"/>
    </xf>
    <xf numFmtId="14" fontId="24" fillId="0" borderId="23" xfId="6" applyNumberFormat="1" applyFont="1" applyBorder="1" applyAlignment="1">
      <alignment horizontal="center" vertical="center"/>
    </xf>
    <xf numFmtId="0" fontId="24" fillId="0" borderId="3" xfId="6" applyFont="1" applyBorder="1" applyAlignment="1">
      <alignment horizontal="center" vertical="center"/>
    </xf>
    <xf numFmtId="0" fontId="24" fillId="0" borderId="0" xfId="6" applyFont="1" applyBorder="1" applyAlignment="1">
      <alignment horizontal="center" vertical="center"/>
    </xf>
    <xf numFmtId="0" fontId="24" fillId="0" borderId="23" xfId="6" applyFont="1" applyBorder="1" applyAlignment="1">
      <alignment horizontal="center" vertical="center"/>
    </xf>
    <xf numFmtId="0" fontId="24" fillId="0" borderId="33" xfId="6" applyFont="1" applyBorder="1" applyAlignment="1">
      <alignment horizontal="left" vertical="center"/>
    </xf>
    <xf numFmtId="0" fontId="24" fillId="0" borderId="34" xfId="6" applyFont="1" applyBorder="1" applyAlignment="1">
      <alignment horizontal="left" vertical="center"/>
    </xf>
    <xf numFmtId="14" fontId="24" fillId="0" borderId="34" xfId="6" applyNumberFormat="1" applyFont="1" applyBorder="1" applyAlignment="1">
      <alignment horizontal="center" vertical="center"/>
    </xf>
    <xf numFmtId="14" fontId="24" fillId="0" borderId="35" xfId="6" applyNumberFormat="1" applyFont="1" applyBorder="1" applyAlignment="1">
      <alignment horizontal="center" vertical="center"/>
    </xf>
    <xf numFmtId="174" fontId="24" fillId="0" borderId="0" xfId="6" applyNumberFormat="1" applyFont="1" applyBorder="1" applyAlignment="1">
      <alignment vertical="center"/>
    </xf>
    <xf numFmtId="174" fontId="1" fillId="0" borderId="0" xfId="6" applyNumberFormat="1" applyFont="1" applyBorder="1" applyAlignment="1">
      <alignment vertical="center"/>
    </xf>
    <xf numFmtId="0" fontId="3" fillId="0" borderId="0" xfId="13" applyFont="1" applyAlignment="1">
      <alignment horizontal="left" vertical="center"/>
    </xf>
    <xf numFmtId="0" fontId="24" fillId="0" borderId="0" xfId="13" applyFont="1" applyAlignment="1">
      <alignment horizontal="left" vertical="center"/>
    </xf>
    <xf numFmtId="0" fontId="24" fillId="0" borderId="0" xfId="13" applyFont="1" applyAlignment="1">
      <alignment horizontal="right" vertical="center"/>
    </xf>
    <xf numFmtId="0" fontId="5" fillId="13" borderId="1" xfId="13" applyFont="1" applyFill="1" applyBorder="1" applyAlignment="1">
      <alignment horizontal="center" vertical="center"/>
    </xf>
    <xf numFmtId="0" fontId="5" fillId="13" borderId="2" xfId="13" applyFont="1" applyFill="1" applyBorder="1" applyAlignment="1">
      <alignment horizontal="center" vertical="center"/>
    </xf>
    <xf numFmtId="0" fontId="5" fillId="13" borderId="107" xfId="13" applyFont="1" applyFill="1" applyBorder="1" applyAlignment="1">
      <alignment horizontal="center" vertical="center"/>
    </xf>
    <xf numFmtId="0" fontId="5" fillId="13" borderId="108" xfId="13" applyFont="1" applyFill="1" applyBorder="1" applyAlignment="1">
      <alignment horizontal="center" vertical="center"/>
    </xf>
    <xf numFmtId="0" fontId="24" fillId="0" borderId="3" xfId="13" applyFont="1" applyBorder="1" applyAlignment="1">
      <alignment vertical="top"/>
    </xf>
    <xf numFmtId="0" fontId="24" fillId="0" borderId="0" xfId="13" applyFont="1" applyBorder="1" applyAlignment="1">
      <alignment vertical="top"/>
    </xf>
    <xf numFmtId="0" fontId="24" fillId="0" borderId="0" xfId="13" applyFont="1" applyBorder="1" applyAlignment="1">
      <alignment horizontal="left" vertical="top"/>
    </xf>
    <xf numFmtId="0" fontId="24" fillId="0" borderId="109" xfId="13" applyFont="1" applyBorder="1" applyAlignment="1">
      <alignment horizontal="left" vertical="top"/>
    </xf>
    <xf numFmtId="0" fontId="24" fillId="0" borderId="0" xfId="13" applyFont="1" applyAlignment="1">
      <alignment horizontal="left" vertical="top"/>
    </xf>
    <xf numFmtId="0" fontId="24" fillId="0" borderId="73" xfId="13" applyFont="1" applyBorder="1" applyAlignment="1">
      <alignment horizontal="left" vertical="top" wrapText="1" indent="1"/>
    </xf>
    <xf numFmtId="0" fontId="24" fillId="0" borderId="74" xfId="13" applyFont="1" applyBorder="1" applyAlignment="1">
      <alignment horizontal="left" vertical="top" wrapText="1" indent="1"/>
    </xf>
    <xf numFmtId="0" fontId="24" fillId="0" borderId="110" xfId="5" applyFont="1" applyBorder="1" applyAlignment="1">
      <alignment horizontal="right" vertical="center" wrapText="1"/>
    </xf>
    <xf numFmtId="0" fontId="24" fillId="0" borderId="74" xfId="5" applyFont="1" applyBorder="1" applyAlignment="1">
      <alignment horizontal="right" vertical="center" wrapText="1"/>
    </xf>
    <xf numFmtId="0" fontId="24" fillId="0" borderId="75" xfId="5" applyFont="1" applyBorder="1" applyAlignment="1">
      <alignment horizontal="right" vertical="center" wrapText="1"/>
    </xf>
    <xf numFmtId="0" fontId="24" fillId="0" borderId="94" xfId="13" applyFont="1" applyBorder="1" applyAlignment="1">
      <alignment horizontal="left" vertical="center"/>
    </xf>
    <xf numFmtId="0" fontId="24" fillId="0" borderId="0" xfId="11" applyFont="1" applyAlignment="1">
      <alignment horizontal="left" vertical="center"/>
    </xf>
    <xf numFmtId="0" fontId="24" fillId="0" borderId="97" xfId="13" applyFont="1" applyBorder="1" applyAlignment="1">
      <alignment horizontal="left" vertical="center"/>
    </xf>
    <xf numFmtId="0" fontId="24" fillId="0" borderId="111" xfId="13" applyFont="1" applyBorder="1" applyAlignment="1">
      <alignment horizontal="left" vertical="center"/>
    </xf>
    <xf numFmtId="0" fontId="3" fillId="0" borderId="112" xfId="13" applyFont="1" applyBorder="1" applyAlignment="1">
      <alignment horizontal="center" vertical="center" wrapText="1"/>
    </xf>
    <xf numFmtId="38" fontId="3" fillId="0" borderId="104" xfId="1" applyNumberFormat="1" applyFont="1" applyBorder="1" applyAlignment="1">
      <alignment horizontal="center" vertical="center" wrapText="1"/>
    </xf>
    <xf numFmtId="0" fontId="3" fillId="0" borderId="104" xfId="13" applyFont="1" applyBorder="1" applyAlignment="1">
      <alignment horizontal="center" vertical="center" wrapText="1"/>
    </xf>
    <xf numFmtId="0" fontId="24" fillId="0" borderId="3" xfId="13" applyFont="1" applyBorder="1" applyAlignment="1">
      <alignment horizontal="left" vertical="center"/>
    </xf>
    <xf numFmtId="0" fontId="24" fillId="0" borderId="0" xfId="13" applyFont="1" applyBorder="1" applyAlignment="1">
      <alignment horizontal="left" vertical="center"/>
    </xf>
    <xf numFmtId="0" fontId="24" fillId="0" borderId="109" xfId="13" applyFont="1" applyBorder="1" applyAlignment="1">
      <alignment horizontal="left" vertical="center"/>
    </xf>
    <xf numFmtId="0" fontId="3" fillId="0" borderId="113" xfId="13" applyFont="1" applyBorder="1" applyAlignment="1">
      <alignment horizontal="center" vertical="center" wrapText="1"/>
    </xf>
    <xf numFmtId="38" fontId="3" fillId="0" borderId="98" xfId="1" applyNumberFormat="1" applyFont="1" applyBorder="1" applyAlignment="1">
      <alignment horizontal="center" vertical="center" wrapText="1"/>
    </xf>
    <xf numFmtId="0" fontId="3" fillId="0" borderId="114" xfId="13" applyFont="1" applyBorder="1" applyAlignment="1">
      <alignment horizontal="center" vertical="center"/>
    </xf>
    <xf numFmtId="0" fontId="3" fillId="14" borderId="4" xfId="13" applyFont="1" applyFill="1" applyBorder="1" applyAlignment="1">
      <alignment vertical="center"/>
    </xf>
    <xf numFmtId="0" fontId="3" fillId="14" borderId="5" xfId="13" applyFont="1" applyFill="1" applyBorder="1" applyAlignment="1">
      <alignment vertical="center"/>
    </xf>
    <xf numFmtId="0" fontId="3" fillId="14" borderId="5" xfId="13" applyFont="1" applyFill="1" applyBorder="1" applyAlignment="1">
      <alignment horizontal="left" vertical="center"/>
    </xf>
    <xf numFmtId="0" fontId="11" fillId="14" borderId="5" xfId="13" applyFont="1" applyFill="1" applyBorder="1" applyAlignment="1">
      <alignment horizontal="left" vertical="center"/>
    </xf>
    <xf numFmtId="0" fontId="3" fillId="7" borderId="3" xfId="13" applyFont="1" applyFill="1" applyBorder="1" applyAlignment="1">
      <alignment vertical="center"/>
    </xf>
    <xf numFmtId="0" fontId="3" fillId="7" borderId="0" xfId="13" applyFont="1" applyFill="1" applyBorder="1" applyAlignment="1">
      <alignment vertical="center"/>
    </xf>
    <xf numFmtId="0" fontId="3" fillId="7" borderId="0" xfId="13" applyFont="1" applyFill="1" applyBorder="1" applyAlignment="1">
      <alignment horizontal="left" vertical="center"/>
    </xf>
    <xf numFmtId="0" fontId="3" fillId="7" borderId="0" xfId="13" applyFont="1" applyFill="1" applyAlignment="1">
      <alignment horizontal="left" vertical="center"/>
    </xf>
    <xf numFmtId="0" fontId="24" fillId="0" borderId="60" xfId="13" applyFont="1" applyBorder="1" applyAlignment="1">
      <alignment horizontal="left" vertical="center" wrapText="1"/>
    </xf>
    <xf numFmtId="164" fontId="25" fillId="0" borderId="10" xfId="9" applyFont="1" applyBorder="1" applyAlignment="1">
      <alignment horizontal="left" vertical="center"/>
    </xf>
    <xf numFmtId="0" fontId="2" fillId="0" borderId="115" xfId="13" applyFont="1" applyBorder="1" applyAlignment="1">
      <alignment horizontal="left" vertical="center" wrapText="1"/>
    </xf>
    <xf numFmtId="0" fontId="3" fillId="0" borderId="116" xfId="13" applyFont="1" applyBorder="1" applyAlignment="1">
      <alignment vertical="center" wrapText="1"/>
    </xf>
    <xf numFmtId="0" fontId="24" fillId="0" borderId="10" xfId="12" applyFont="1" applyBorder="1" applyAlignment="1">
      <alignment horizontal="center" vertical="center"/>
    </xf>
    <xf numFmtId="43" fontId="24" fillId="0" borderId="10" xfId="1" applyNumberFormat="1" applyFont="1" applyBorder="1" applyAlignment="1">
      <alignment horizontal="left" vertical="center"/>
    </xf>
    <xf numFmtId="40" fontId="24" fillId="0" borderId="10" xfId="1" applyFont="1" applyBorder="1" applyAlignment="1" applyProtection="1">
      <alignment horizontal="right" vertical="center"/>
      <protection locked="0"/>
    </xf>
    <xf numFmtId="0" fontId="3" fillId="0" borderId="115" xfId="13" applyFont="1" applyBorder="1" applyAlignment="1">
      <alignment vertical="center" wrapText="1"/>
    </xf>
    <xf numFmtId="0" fontId="3" fillId="7" borderId="4" xfId="13" applyFont="1" applyFill="1" applyBorder="1" applyAlignment="1">
      <alignment vertical="center"/>
    </xf>
    <xf numFmtId="0" fontId="3" fillId="7" borderId="5" xfId="13" applyFont="1" applyFill="1" applyBorder="1" applyAlignment="1">
      <alignment horizontal="left" vertical="center"/>
    </xf>
    <xf numFmtId="0" fontId="3" fillId="7" borderId="5" xfId="13" applyFont="1" applyFill="1" applyBorder="1" applyAlignment="1">
      <alignment vertical="center"/>
    </xf>
    <xf numFmtId="0" fontId="3" fillId="7" borderId="117" xfId="13" applyFont="1" applyFill="1" applyBorder="1" applyAlignment="1">
      <alignment horizontal="left" vertical="center" wrapText="1"/>
    </xf>
    <xf numFmtId="38" fontId="3" fillId="7" borderId="117" xfId="1" applyNumberFormat="1" applyFont="1" applyFill="1" applyBorder="1" applyAlignment="1">
      <alignment horizontal="left" vertical="center" wrapText="1"/>
    </xf>
    <xf numFmtId="0" fontId="24" fillId="0" borderId="7" xfId="13" applyFont="1" applyBorder="1" applyAlignment="1">
      <alignment horizontal="left" vertical="center" wrapText="1"/>
    </xf>
    <xf numFmtId="0" fontId="3" fillId="8" borderId="9" xfId="13" applyFont="1" applyFill="1" applyBorder="1" applyAlignment="1">
      <alignment horizontal="right" vertical="center" indent="1"/>
    </xf>
    <xf numFmtId="0" fontId="3" fillId="8" borderId="116" xfId="13" applyFont="1" applyFill="1" applyBorder="1" applyAlignment="1">
      <alignment horizontal="right" vertical="center" indent="1"/>
    </xf>
    <xf numFmtId="0" fontId="3" fillId="8" borderId="10" xfId="13" applyFont="1" applyFill="1" applyBorder="1" applyAlignment="1">
      <alignment horizontal="left" vertical="center" indent="1"/>
    </xf>
    <xf numFmtId="0" fontId="3" fillId="8" borderId="10" xfId="13" applyFont="1" applyFill="1" applyBorder="1" applyAlignment="1">
      <alignment horizontal="right" vertical="center" indent="1"/>
    </xf>
    <xf numFmtId="4" fontId="11" fillId="8" borderId="10" xfId="12" applyNumberFormat="1" applyFont="1" applyFill="1" applyBorder="1" applyAlignment="1">
      <alignment horizontal="right" vertical="center"/>
    </xf>
    <xf numFmtId="0" fontId="3" fillId="2" borderId="3" xfId="13" applyFont="1" applyFill="1" applyBorder="1" applyAlignment="1">
      <alignment horizontal="center" vertical="center"/>
    </xf>
    <xf numFmtId="0" fontId="3" fillId="2" borderId="0" xfId="13" applyFont="1" applyFill="1" applyAlignment="1">
      <alignment horizontal="center" vertical="center"/>
    </xf>
    <xf numFmtId="0" fontId="3" fillId="14" borderId="9" xfId="13" applyFont="1" applyFill="1" applyBorder="1" applyAlignment="1">
      <alignment vertical="center"/>
    </xf>
    <xf numFmtId="0" fontId="3" fillId="14" borderId="116" xfId="13" applyFont="1" applyFill="1" applyBorder="1" applyAlignment="1">
      <alignment vertical="center"/>
    </xf>
    <xf numFmtId="0" fontId="3" fillId="14" borderId="10" xfId="13" applyFont="1" applyFill="1" applyBorder="1" applyAlignment="1">
      <alignment horizontal="left" vertical="center"/>
    </xf>
    <xf numFmtId="0" fontId="11" fillId="14" borderId="10" xfId="13" applyFont="1" applyFill="1" applyBorder="1" applyAlignment="1">
      <alignment horizontal="left" vertical="center"/>
    </xf>
    <xf numFmtId="0" fontId="3" fillId="14" borderId="10" xfId="13" applyFont="1" applyFill="1" applyBorder="1" applyAlignment="1">
      <alignment horizontal="left" vertical="center" wrapText="1"/>
    </xf>
    <xf numFmtId="38" fontId="3" fillId="14" borderId="10" xfId="1" applyNumberFormat="1" applyFont="1" applyFill="1" applyBorder="1" applyAlignment="1">
      <alignment horizontal="center" vertical="center" wrapText="1"/>
    </xf>
    <xf numFmtId="38" fontId="3" fillId="14" borderId="10" xfId="1" applyNumberFormat="1" applyFont="1" applyFill="1" applyBorder="1" applyAlignment="1">
      <alignment horizontal="left" vertical="center" wrapText="1"/>
    </xf>
    <xf numFmtId="43" fontId="24" fillId="0" borderId="53" xfId="13" applyNumberFormat="1" applyFont="1" applyBorder="1" applyAlignment="1">
      <alignment vertical="center"/>
    </xf>
    <xf numFmtId="43" fontId="24" fillId="0" borderId="10" xfId="13" applyNumberFormat="1" applyFont="1" applyBorder="1" applyAlignment="1">
      <alignment vertical="center"/>
    </xf>
    <xf numFmtId="0" fontId="26" fillId="0" borderId="118" xfId="0" applyFont="1" applyBorder="1" applyAlignment="1">
      <alignment horizontal="left"/>
    </xf>
    <xf numFmtId="43" fontId="24" fillId="0" borderId="119" xfId="13" applyNumberFormat="1" applyFont="1" applyBorder="1" applyAlignment="1">
      <alignment vertical="center"/>
    </xf>
    <xf numFmtId="0" fontId="24" fillId="0" borderId="54" xfId="12" applyFont="1" applyBorder="1" applyAlignment="1">
      <alignment horizontal="center" vertical="center"/>
    </xf>
    <xf numFmtId="43" fontId="24" fillId="0" borderId="54" xfId="1" applyNumberFormat="1" applyFont="1" applyBorder="1" applyAlignment="1">
      <alignment horizontal="left" vertical="center"/>
    </xf>
    <xf numFmtId="166" fontId="24" fillId="0" borderId="104" xfId="1" applyNumberFormat="1" applyFont="1" applyBorder="1" applyAlignment="1" applyProtection="1">
      <alignment horizontal="right" vertical="center"/>
      <protection locked="0"/>
    </xf>
    <xf numFmtId="43" fontId="24" fillId="0" borderId="9" xfId="13" applyNumberFormat="1" applyFont="1" applyBorder="1" applyAlignment="1">
      <alignment vertical="center"/>
    </xf>
    <xf numFmtId="0" fontId="26" fillId="0" borderId="115" xfId="0" applyFont="1" applyBorder="1" applyAlignment="1">
      <alignment horizontal="left"/>
    </xf>
    <xf numFmtId="43" fontId="24" fillId="0" borderId="116" xfId="13" applyNumberFormat="1" applyFont="1" applyBorder="1" applyAlignment="1">
      <alignment vertical="center"/>
    </xf>
    <xf numFmtId="166" fontId="24" fillId="0" borderId="89" xfId="1" applyNumberFormat="1" applyFont="1" applyBorder="1" applyAlignment="1" applyProtection="1">
      <alignment horizontal="right" vertical="center"/>
      <protection locked="0"/>
    </xf>
    <xf numFmtId="43" fontId="24" fillId="0" borderId="60" xfId="13" applyNumberFormat="1" applyFont="1" applyBorder="1" applyAlignment="1">
      <alignment vertical="center"/>
    </xf>
    <xf numFmtId="0" fontId="26" fillId="0" borderId="10" xfId="0" applyFont="1" applyBorder="1" applyAlignment="1">
      <alignment horizontal="left"/>
    </xf>
    <xf numFmtId="0" fontId="24" fillId="0" borderId="120" xfId="12" applyFont="1" applyBorder="1" applyAlignment="1">
      <alignment horizontal="center" vertical="center"/>
    </xf>
    <xf numFmtId="166" fontId="24" fillId="0" borderId="71" xfId="1" applyNumberFormat="1" applyFont="1" applyBorder="1" applyAlignment="1" applyProtection="1">
      <alignment horizontal="right" vertical="center"/>
      <protection locked="0"/>
    </xf>
    <xf numFmtId="43" fontId="24" fillId="0" borderId="115" xfId="13" applyNumberFormat="1" applyFont="1" applyBorder="1" applyAlignment="1">
      <alignment vertical="center"/>
    </xf>
    <xf numFmtId="175" fontId="24" fillId="0" borderId="120" xfId="1" applyNumberFormat="1" applyFont="1" applyBorder="1" applyAlignment="1">
      <alignment horizontal="left" vertical="center"/>
    </xf>
    <xf numFmtId="43" fontId="3" fillId="8" borderId="121" xfId="13" applyNumberFormat="1" applyFont="1" applyFill="1" applyBorder="1" applyAlignment="1">
      <alignment horizontal="right" vertical="center" indent="1"/>
    </xf>
    <xf numFmtId="43" fontId="3" fillId="8" borderId="122" xfId="13" applyNumberFormat="1" applyFont="1" applyFill="1" applyBorder="1" applyAlignment="1">
      <alignment horizontal="right" vertical="center" indent="1"/>
    </xf>
    <xf numFmtId="43" fontId="3" fillId="8" borderId="122" xfId="13" applyNumberFormat="1" applyFont="1" applyFill="1" applyBorder="1" applyAlignment="1">
      <alignment horizontal="left" vertical="center" indent="1"/>
    </xf>
    <xf numFmtId="0" fontId="3" fillId="8" borderId="123" xfId="13" applyFont="1" applyFill="1" applyBorder="1" applyAlignment="1">
      <alignment horizontal="right" vertical="center" indent="1"/>
    </xf>
    <xf numFmtId="4" fontId="11" fillId="8" borderId="124" xfId="12" applyNumberFormat="1" applyFont="1" applyFill="1" applyBorder="1" applyAlignment="1">
      <alignment horizontal="right" vertical="center"/>
    </xf>
    <xf numFmtId="43" fontId="3" fillId="0" borderId="7" xfId="13" applyNumberFormat="1" applyFont="1" applyFill="1" applyBorder="1" applyAlignment="1">
      <alignment horizontal="center" vertical="center"/>
    </xf>
    <xf numFmtId="43" fontId="3" fillId="0" borderId="6" xfId="13" applyNumberFormat="1" applyFont="1" applyFill="1" applyBorder="1" applyAlignment="1">
      <alignment horizontal="center" vertical="center"/>
    </xf>
    <xf numFmtId="43" fontId="9" fillId="8" borderId="121" xfId="13" applyNumberFormat="1" applyFont="1" applyFill="1" applyBorder="1" applyAlignment="1">
      <alignment horizontal="right" vertical="center" indent="1"/>
    </xf>
    <xf numFmtId="43" fontId="9" fillId="8" borderId="122" xfId="13" applyNumberFormat="1" applyFont="1" applyFill="1" applyBorder="1" applyAlignment="1">
      <alignment horizontal="right" vertical="center" indent="1"/>
    </xf>
    <xf numFmtId="43" fontId="9" fillId="8" borderId="122" xfId="13" applyNumberFormat="1" applyFont="1" applyFill="1" applyBorder="1" applyAlignment="1">
      <alignment horizontal="left" vertical="center" indent="1"/>
    </xf>
    <xf numFmtId="0" fontId="9" fillId="8" borderId="123" xfId="13" applyFont="1" applyFill="1" applyBorder="1" applyAlignment="1">
      <alignment horizontal="right" vertical="center" indent="1"/>
    </xf>
    <xf numFmtId="4" fontId="9" fillId="8" borderId="114" xfId="12" applyNumberFormat="1" applyFont="1" applyFill="1" applyBorder="1" applyAlignment="1">
      <alignment horizontal="right" vertical="center"/>
    </xf>
    <xf numFmtId="43" fontId="24" fillId="0" borderId="3" xfId="1" applyNumberFormat="1" applyFont="1" applyBorder="1" applyAlignment="1">
      <alignment horizontal="left" vertical="top"/>
    </xf>
    <xf numFmtId="43" fontId="24" fillId="0" borderId="0" xfId="1" applyNumberFormat="1" applyFont="1" applyBorder="1" applyAlignment="1">
      <alignment horizontal="left" vertical="top"/>
    </xf>
    <xf numFmtId="43" fontId="24" fillId="0" borderId="97" xfId="1" applyNumberFormat="1" applyFont="1" applyBorder="1" applyAlignment="1">
      <alignment horizontal="left" vertical="top"/>
    </xf>
    <xf numFmtId="0" fontId="24" fillId="0" borderId="100" xfId="13" applyFont="1" applyBorder="1" applyAlignment="1">
      <alignment horizontal="center" vertical="center"/>
    </xf>
    <xf numFmtId="0" fontId="24" fillId="0" borderId="103" xfId="13" applyFont="1" applyBorder="1" applyAlignment="1">
      <alignment horizontal="center" vertical="center"/>
    </xf>
    <xf numFmtId="14" fontId="24" fillId="0" borderId="0" xfId="13" applyNumberFormat="1" applyFont="1" applyBorder="1" applyAlignment="1">
      <alignment vertical="center"/>
    </xf>
    <xf numFmtId="38" fontId="24" fillId="0" borderId="103" xfId="1" applyNumberFormat="1" applyFont="1" applyBorder="1" applyAlignment="1">
      <alignment horizontal="left" vertical="center" indent="1"/>
    </xf>
    <xf numFmtId="38" fontId="24" fillId="0" borderId="0" xfId="1" applyNumberFormat="1" applyFont="1" applyBorder="1" applyAlignment="1">
      <alignment horizontal="right" vertical="center"/>
    </xf>
    <xf numFmtId="0" fontId="24" fillId="0" borderId="7" xfId="13" applyFont="1" applyBorder="1" applyAlignment="1">
      <alignment horizontal="left" vertical="top"/>
    </xf>
    <xf numFmtId="0" fontId="24" fillId="0" borderId="6" xfId="13" applyFont="1" applyBorder="1" applyAlignment="1">
      <alignment horizontal="left" vertical="top"/>
    </xf>
    <xf numFmtId="0" fontId="27" fillId="0" borderId="3" xfId="0" applyFont="1" applyBorder="1" applyAlignment="1">
      <alignment horizontal="left" vertical="center" indent="1"/>
    </xf>
    <xf numFmtId="0" fontId="27" fillId="0" borderId="0" xfId="0" applyFont="1" applyBorder="1" applyAlignment="1">
      <alignment horizontal="left" vertical="center" indent="1"/>
    </xf>
    <xf numFmtId="0" fontId="28" fillId="0" borderId="33" xfId="13" applyFont="1" applyBorder="1" applyAlignment="1">
      <alignment vertical="center"/>
    </xf>
    <xf numFmtId="0" fontId="28" fillId="0" borderId="34" xfId="13" applyFont="1" applyBorder="1" applyAlignment="1">
      <alignment vertical="center"/>
    </xf>
    <xf numFmtId="0" fontId="28" fillId="0" borderId="34" xfId="13" applyFont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13" borderId="22" xfId="0" applyFont="1" applyFill="1" applyBorder="1" applyAlignment="1">
      <alignment horizontal="left" vertical="top"/>
    </xf>
    <xf numFmtId="0" fontId="5" fillId="13" borderId="125" xfId="11" applyFont="1" applyFill="1" applyBorder="1" applyAlignment="1">
      <alignment horizontal="center" vertical="center"/>
    </xf>
    <xf numFmtId="0" fontId="24" fillId="0" borderId="99" xfId="13" applyFont="1" applyBorder="1" applyAlignment="1">
      <alignment horizontal="left" vertical="top"/>
    </xf>
    <xf numFmtId="0" fontId="24" fillId="0" borderId="125" xfId="13" applyFont="1" applyBorder="1" applyAlignment="1">
      <alignment vertical="center"/>
    </xf>
    <xf numFmtId="0" fontId="3" fillId="0" borderId="105" xfId="13" applyFont="1" applyBorder="1" applyAlignment="1">
      <alignment horizontal="center" vertical="center" wrapText="1"/>
    </xf>
    <xf numFmtId="0" fontId="3" fillId="0" borderId="0" xfId="13" applyFont="1" applyAlignment="1">
      <alignment horizontal="right" vertical="center"/>
    </xf>
    <xf numFmtId="0" fontId="3" fillId="0" borderId="106" xfId="13" applyFont="1" applyBorder="1" applyAlignment="1">
      <alignment horizontal="center" vertical="center"/>
    </xf>
    <xf numFmtId="0" fontId="11" fillId="14" borderId="24" xfId="13" applyFont="1" applyFill="1" applyBorder="1" applyAlignment="1">
      <alignment horizontal="left" vertical="center"/>
    </xf>
    <xf numFmtId="0" fontId="24" fillId="0" borderId="0" xfId="11" applyFont="1" applyAlignment="1">
      <alignment horizontal="right" vertical="center"/>
    </xf>
    <xf numFmtId="0" fontId="24" fillId="0" borderId="0" xfId="11" applyNumberFormat="1" applyFont="1" applyAlignment="1">
      <alignment horizontal="left" vertical="top"/>
    </xf>
    <xf numFmtId="175" fontId="24" fillId="0" borderId="0" xfId="11" applyNumberFormat="1" applyFont="1" applyAlignment="1">
      <alignment vertical="center"/>
    </xf>
    <xf numFmtId="0" fontId="3" fillId="7" borderId="23" xfId="13" applyFont="1" applyFill="1" applyBorder="1" applyAlignment="1">
      <alignment horizontal="left" vertical="center"/>
    </xf>
    <xf numFmtId="40" fontId="24" fillId="0" borderId="25" xfId="1" applyFont="1" applyBorder="1" applyAlignment="1">
      <alignment horizontal="right" vertical="center"/>
    </xf>
    <xf numFmtId="40" fontId="24" fillId="0" borderId="0" xfId="13" applyNumberFormat="1" applyFont="1" applyAlignment="1">
      <alignment horizontal="right" vertical="center"/>
    </xf>
    <xf numFmtId="38" fontId="3" fillId="7" borderId="126" xfId="1" applyNumberFormat="1" applyFont="1" applyFill="1" applyBorder="1" applyAlignment="1">
      <alignment horizontal="left" vertical="center" wrapText="1"/>
    </xf>
    <xf numFmtId="43" fontId="3" fillId="8" borderId="25" xfId="1" applyNumberFormat="1" applyFont="1" applyFill="1" applyBorder="1" applyAlignment="1">
      <alignment horizontal="left" vertical="center"/>
    </xf>
    <xf numFmtId="0" fontId="3" fillId="2" borderId="23" xfId="13" applyFont="1" applyFill="1" applyBorder="1" applyAlignment="1">
      <alignment horizontal="center" vertical="center"/>
    </xf>
    <xf numFmtId="38" fontId="3" fillId="14" borderId="25" xfId="1" applyNumberFormat="1" applyFont="1" applyFill="1" applyBorder="1" applyAlignment="1">
      <alignment horizontal="left" vertical="center" wrapText="1"/>
    </xf>
    <xf numFmtId="40" fontId="24" fillId="0" borderId="105" xfId="1" applyFont="1" applyBorder="1" applyAlignment="1">
      <alignment horizontal="right" vertical="center"/>
    </xf>
    <xf numFmtId="43" fontId="24" fillId="0" borderId="0" xfId="13" applyNumberFormat="1" applyFont="1" applyAlignment="1">
      <alignment horizontal="right" vertical="center"/>
    </xf>
    <xf numFmtId="0" fontId="24" fillId="0" borderId="0" xfId="13" applyNumberFormat="1" applyFont="1" applyAlignment="1">
      <alignment horizontal="left" vertical="center"/>
    </xf>
    <xf numFmtId="40" fontId="24" fillId="0" borderId="90" xfId="1" applyFont="1" applyBorder="1" applyAlignment="1">
      <alignment horizontal="right" vertical="center"/>
    </xf>
    <xf numFmtId="2" fontId="24" fillId="0" borderId="0" xfId="13" applyNumberFormat="1" applyFont="1" applyAlignment="1">
      <alignment horizontal="right" vertical="center"/>
    </xf>
    <xf numFmtId="43" fontId="24" fillId="0" borderId="0" xfId="13" applyNumberFormat="1" applyFont="1" applyAlignment="1">
      <alignment horizontal="left" vertical="center"/>
    </xf>
    <xf numFmtId="43" fontId="24" fillId="0" borderId="0" xfId="13" applyNumberFormat="1" applyFont="1" applyAlignment="1">
      <alignment horizontal="center" vertical="center"/>
    </xf>
    <xf numFmtId="43" fontId="3" fillId="8" borderId="127" xfId="1" applyNumberFormat="1" applyFont="1" applyFill="1" applyBorder="1" applyAlignment="1">
      <alignment horizontal="left" vertical="center"/>
    </xf>
    <xf numFmtId="43" fontId="3" fillId="0" borderId="128" xfId="13" applyNumberFormat="1" applyFont="1" applyFill="1" applyBorder="1" applyAlignment="1">
      <alignment horizontal="center" vertical="center"/>
    </xf>
    <xf numFmtId="43" fontId="9" fillId="8" borderId="129" xfId="1" applyNumberFormat="1" applyFont="1" applyFill="1" applyBorder="1" applyAlignment="1">
      <alignment horizontal="left" vertical="center"/>
    </xf>
    <xf numFmtId="43" fontId="24" fillId="0" borderId="130" xfId="1" applyNumberFormat="1" applyFont="1" applyBorder="1" applyAlignment="1">
      <alignment horizontal="left" vertical="top"/>
    </xf>
    <xf numFmtId="38" fontId="24" fillId="0" borderId="23" xfId="1" applyNumberFormat="1" applyFont="1" applyBorder="1" applyAlignment="1">
      <alignment horizontal="right" vertical="center"/>
    </xf>
    <xf numFmtId="0" fontId="24" fillId="0" borderId="128" xfId="13" applyFont="1" applyBorder="1" applyAlignment="1">
      <alignment horizontal="left" vertical="top"/>
    </xf>
    <xf numFmtId="0" fontId="27" fillId="0" borderId="23" xfId="0" applyFont="1" applyBorder="1" applyAlignment="1">
      <alignment horizontal="left" vertical="center" indent="1"/>
    </xf>
    <xf numFmtId="0" fontId="28" fillId="0" borderId="35" xfId="13" applyFont="1" applyBorder="1" applyAlignment="1">
      <alignment vertical="center"/>
    </xf>
    <xf numFmtId="0" fontId="3" fillId="0" borderId="0" xfId="12" applyFont="1" applyAlignment="1">
      <alignment vertical="center"/>
    </xf>
    <xf numFmtId="0" fontId="1" fillId="0" borderId="0" xfId="12" applyFont="1" applyAlignment="1">
      <alignment vertical="center"/>
    </xf>
    <xf numFmtId="0" fontId="24" fillId="0" borderId="0" xfId="12" applyFont="1" applyAlignment="1">
      <alignment vertical="center"/>
    </xf>
    <xf numFmtId="0" fontId="24" fillId="0" borderId="69" xfId="12" applyFont="1" applyBorder="1" applyAlignment="1">
      <alignment horizontal="left" vertical="top"/>
    </xf>
    <xf numFmtId="0" fontId="24" fillId="0" borderId="70" xfId="12" applyFont="1" applyBorder="1" applyAlignment="1">
      <alignment horizontal="left" vertical="top"/>
    </xf>
    <xf numFmtId="176" fontId="3" fillId="0" borderId="136" xfId="12" applyNumberFormat="1" applyFont="1" applyBorder="1" applyAlignment="1">
      <alignment horizontal="center" vertical="center"/>
    </xf>
    <xf numFmtId="176" fontId="3" fillId="0" borderId="137" xfId="12" applyNumberFormat="1" applyFont="1" applyBorder="1" applyAlignment="1">
      <alignment horizontal="center" vertical="center"/>
    </xf>
    <xf numFmtId="40" fontId="3" fillId="0" borderId="52" xfId="12" applyNumberFormat="1" applyFont="1" applyBorder="1" applyAlignment="1">
      <alignment horizontal="center" vertical="center"/>
    </xf>
    <xf numFmtId="0" fontId="3" fillId="0" borderId="138" xfId="12" applyFont="1" applyBorder="1" applyAlignment="1">
      <alignment horizontal="center" vertical="center"/>
    </xf>
    <xf numFmtId="0" fontId="3" fillId="0" borderId="136" xfId="12" applyNumberFormat="1" applyFont="1" applyBorder="1" applyAlignment="1">
      <alignment horizontal="center" vertical="center"/>
    </xf>
    <xf numFmtId="176" fontId="3" fillId="0" borderId="0" xfId="12" applyNumberFormat="1" applyFont="1" applyBorder="1" applyAlignment="1">
      <alignment horizontal="center" vertical="center"/>
    </xf>
    <xf numFmtId="40" fontId="3" fillId="0" borderId="98" xfId="1" applyFont="1" applyBorder="1" applyAlignment="1">
      <alignment horizontal="center" vertical="center" wrapText="1"/>
    </xf>
    <xf numFmtId="0" fontId="3" fillId="0" borderId="56" xfId="12" applyFont="1" applyBorder="1" applyAlignment="1">
      <alignment horizontal="center" vertical="center"/>
    </xf>
    <xf numFmtId="0" fontId="3" fillId="0" borderId="139" xfId="12" applyFont="1" applyBorder="1" applyAlignment="1">
      <alignment horizontal="center" vertical="center"/>
    </xf>
    <xf numFmtId="0" fontId="3" fillId="0" borderId="141" xfId="12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164" fontId="30" fillId="14" borderId="9" xfId="9" applyFont="1" applyFill="1" applyBorder="1" applyAlignment="1">
      <alignment horizontal="center" vertical="center"/>
    </xf>
    <xf numFmtId="164" fontId="25" fillId="14" borderId="10" xfId="9" applyFont="1" applyFill="1" applyBorder="1" applyAlignment="1">
      <alignment vertical="center"/>
    </xf>
    <xf numFmtId="164" fontId="25" fillId="14" borderId="8" xfId="9" applyFont="1" applyFill="1" applyBorder="1" applyAlignment="1">
      <alignment vertical="center"/>
    </xf>
    <xf numFmtId="164" fontId="25" fillId="14" borderId="58" xfId="9" applyFont="1" applyFill="1" applyBorder="1" applyAlignment="1">
      <alignment vertical="center"/>
    </xf>
    <xf numFmtId="164" fontId="25" fillId="14" borderId="116" xfId="9" applyFont="1" applyFill="1" applyBorder="1" applyAlignment="1">
      <alignment vertical="center"/>
    </xf>
    <xf numFmtId="164" fontId="25" fillId="0" borderId="9" xfId="9" applyFont="1" applyBorder="1" applyAlignment="1">
      <alignment horizontal="center" vertical="center"/>
    </xf>
    <xf numFmtId="0" fontId="25" fillId="0" borderId="119" xfId="9" applyNumberFormat="1" applyFont="1" applyBorder="1" applyAlignment="1">
      <alignment horizontal="left" vertical="center"/>
    </xf>
    <xf numFmtId="0" fontId="25" fillId="0" borderId="119" xfId="9" applyNumberFormat="1" applyFont="1" applyBorder="1" applyAlignment="1">
      <alignment horizontal="center" vertical="center"/>
    </xf>
    <xf numFmtId="164" fontId="25" fillId="0" borderId="119" xfId="9" applyFont="1" applyBorder="1" applyAlignment="1">
      <alignment horizontal="center" vertical="center"/>
    </xf>
    <xf numFmtId="0" fontId="24" fillId="0" borderId="142" xfId="12" applyFont="1" applyBorder="1" applyAlignment="1">
      <alignment horizontal="center" vertical="center" wrapText="1"/>
    </xf>
    <xf numFmtId="43" fontId="24" fillId="0" borderId="143" xfId="0" applyNumberFormat="1" applyFont="1" applyFill="1" applyBorder="1" applyAlignment="1">
      <alignment horizontal="center" vertical="center"/>
    </xf>
    <xf numFmtId="43" fontId="24" fillId="0" borderId="101" xfId="0" applyNumberFormat="1" applyFont="1" applyFill="1" applyBorder="1" applyAlignment="1" applyProtection="1">
      <alignment vertical="center"/>
      <protection locked="0"/>
    </xf>
    <xf numFmtId="43" fontId="24" fillId="0" borderId="104" xfId="0" applyNumberFormat="1" applyFont="1" applyFill="1" applyBorder="1" applyAlignment="1" applyProtection="1">
      <alignment horizontal="right" vertical="center"/>
      <protection locked="0"/>
    </xf>
    <xf numFmtId="0" fontId="25" fillId="0" borderId="116" xfId="9" applyNumberFormat="1" applyFont="1" applyBorder="1" applyAlignment="1">
      <alignment horizontal="left" vertical="center"/>
    </xf>
    <xf numFmtId="0" fontId="25" fillId="0" borderId="116" xfId="9" applyNumberFormat="1" applyFont="1" applyBorder="1" applyAlignment="1">
      <alignment horizontal="center" vertical="center"/>
    </xf>
    <xf numFmtId="164" fontId="25" fillId="0" borderId="116" xfId="9" applyFont="1" applyBorder="1" applyAlignment="1">
      <alignment horizontal="center" vertical="center"/>
    </xf>
    <xf numFmtId="43" fontId="24" fillId="0" borderId="58" xfId="0" applyNumberFormat="1" applyFont="1" applyFill="1" applyBorder="1" applyAlignment="1">
      <alignment horizontal="center" vertical="center"/>
    </xf>
    <xf numFmtId="0" fontId="24" fillId="0" borderId="89" xfId="12" applyFont="1" applyBorder="1" applyAlignment="1">
      <alignment horizontal="left" vertical="center"/>
    </xf>
    <xf numFmtId="164" fontId="25" fillId="14" borderId="10" xfId="9" applyFont="1" applyFill="1" applyBorder="1" applyAlignment="1">
      <alignment horizontal="center" vertical="center"/>
    </xf>
    <xf numFmtId="0" fontId="24" fillId="0" borderId="119" xfId="12" applyFont="1" applyBorder="1" applyAlignment="1">
      <alignment horizontal="center" vertical="center"/>
    </xf>
    <xf numFmtId="0" fontId="24" fillId="0" borderId="144" xfId="0" applyFont="1" applyBorder="1" applyAlignment="1">
      <alignment horizontal="left" vertical="center"/>
    </xf>
    <xf numFmtId="0" fontId="24" fillId="0" borderId="116" xfId="0" applyFont="1" applyBorder="1" applyAlignment="1">
      <alignment horizontal="center" vertical="center"/>
    </xf>
    <xf numFmtId="43" fontId="24" fillId="0" borderId="145" xfId="0" applyNumberFormat="1" applyFont="1" applyFill="1" applyBorder="1" applyAlignment="1">
      <alignment horizontal="center" vertical="center"/>
    </xf>
    <xf numFmtId="43" fontId="24" fillId="0" borderId="137" xfId="0" applyNumberFormat="1" applyFont="1" applyFill="1" applyBorder="1" applyAlignment="1" applyProtection="1">
      <alignment vertical="center"/>
      <protection locked="0"/>
    </xf>
    <xf numFmtId="43" fontId="24" fillId="0" borderId="98" xfId="0" applyNumberFormat="1" applyFont="1" applyFill="1" applyBorder="1" applyAlignment="1" applyProtection="1">
      <alignment horizontal="right" vertical="center"/>
      <protection locked="0"/>
    </xf>
    <xf numFmtId="43" fontId="24" fillId="0" borderId="146" xfId="0" applyNumberFormat="1" applyFont="1" applyFill="1" applyBorder="1" applyAlignment="1">
      <alignment horizontal="center" vertical="center"/>
    </xf>
    <xf numFmtId="43" fontId="24" fillId="0" borderId="147" xfId="0" applyNumberFormat="1" applyFont="1" applyFill="1" applyBorder="1" applyAlignment="1" applyProtection="1">
      <alignment vertical="center"/>
      <protection locked="0"/>
    </xf>
    <xf numFmtId="43" fontId="24" fillId="0" borderId="21" xfId="0" applyNumberFormat="1" applyFont="1" applyFill="1" applyBorder="1" applyAlignment="1" applyProtection="1">
      <alignment horizontal="right" vertical="center"/>
      <protection locked="0"/>
    </xf>
    <xf numFmtId="43" fontId="24" fillId="0" borderId="119" xfId="0" applyNumberFormat="1" applyFont="1" applyFill="1" applyBorder="1" applyAlignment="1" applyProtection="1">
      <alignment horizontal="right" vertical="center"/>
      <protection locked="0"/>
    </xf>
    <xf numFmtId="43" fontId="24" fillId="0" borderId="148" xfId="12" applyNumberFormat="1" applyFont="1" applyFill="1" applyBorder="1" applyAlignment="1">
      <alignment horizontal="right" vertical="center"/>
    </xf>
    <xf numFmtId="164" fontId="25" fillId="0" borderId="3" xfId="9" applyFont="1" applyBorder="1" applyAlignment="1">
      <alignment horizontal="center" vertical="center"/>
    </xf>
    <xf numFmtId="4" fontId="11" fillId="15" borderId="114" xfId="12" applyNumberFormat="1" applyFont="1" applyFill="1" applyBorder="1" applyAlignment="1">
      <alignment horizontal="right" vertical="center"/>
    </xf>
    <xf numFmtId="0" fontId="24" fillId="0" borderId="3" xfId="12" applyFont="1" applyBorder="1" applyAlignment="1">
      <alignment horizontal="left" vertical="top"/>
    </xf>
    <xf numFmtId="0" fontId="24" fillId="0" borderId="0" xfId="12" applyFont="1" applyBorder="1" applyAlignment="1">
      <alignment horizontal="left" vertical="top"/>
    </xf>
    <xf numFmtId="0" fontId="24" fillId="0" borderId="0" xfId="12" applyFont="1" applyBorder="1" applyAlignment="1">
      <alignment horizontal="center" vertical="center"/>
    </xf>
    <xf numFmtId="0" fontId="24" fillId="0" borderId="52" xfId="12" applyFont="1" applyBorder="1" applyAlignment="1">
      <alignment horizontal="left" vertical="top"/>
    </xf>
    <xf numFmtId="0" fontId="24" fillId="0" borderId="97" xfId="12" applyFont="1" applyBorder="1" applyAlignment="1">
      <alignment horizontal="left" vertical="top"/>
    </xf>
    <xf numFmtId="0" fontId="24" fillId="0" borderId="100" xfId="12" applyFont="1" applyBorder="1" applyAlignment="1">
      <alignment vertical="top"/>
    </xf>
    <xf numFmtId="0" fontId="24" fillId="0" borderId="103" xfId="12" applyFont="1" applyBorder="1" applyAlignment="1">
      <alignment vertical="top"/>
    </xf>
    <xf numFmtId="14" fontId="24" fillId="0" borderId="54" xfId="12" applyNumberFormat="1" applyFont="1" applyBorder="1" applyAlignment="1">
      <alignment horizontal="left" vertical="top" indent="1"/>
    </xf>
    <xf numFmtId="0" fontId="24" fillId="0" borderId="103" xfId="12" applyFont="1" applyBorder="1" applyAlignment="1">
      <alignment horizontal="left" vertical="top" indent="1"/>
    </xf>
    <xf numFmtId="0" fontId="24" fillId="0" borderId="33" xfId="12" applyFont="1" applyBorder="1" applyAlignment="1">
      <alignment vertical="center"/>
    </xf>
    <xf numFmtId="0" fontId="24" fillId="0" borderId="34" xfId="12" applyFont="1" applyBorder="1" applyAlignment="1">
      <alignment vertical="center"/>
    </xf>
    <xf numFmtId="172" fontId="24" fillId="0" borderId="0" xfId="11" applyNumberFormat="1" applyFont="1" applyAlignment="1">
      <alignment horizontal="center" vertical="center"/>
    </xf>
    <xf numFmtId="0" fontId="24" fillId="0" borderId="155" xfId="12" applyFont="1" applyBorder="1" applyAlignment="1">
      <alignment horizontal="left" vertical="top"/>
    </xf>
    <xf numFmtId="0" fontId="24" fillId="0" borderId="106" xfId="12" applyFont="1" applyBorder="1" applyAlignment="1">
      <alignment horizontal="center" vertical="top"/>
    </xf>
    <xf numFmtId="0" fontId="24" fillId="0" borderId="156" xfId="12" applyFont="1" applyBorder="1" applyAlignment="1">
      <alignment vertical="center"/>
    </xf>
    <xf numFmtId="0" fontId="24" fillId="0" borderId="157" xfId="12" applyFont="1" applyBorder="1" applyAlignment="1">
      <alignment vertical="center"/>
    </xf>
    <xf numFmtId="0" fontId="3" fillId="0" borderId="52" xfId="12" applyFont="1" applyBorder="1" applyAlignment="1">
      <alignment horizontal="center" vertical="center"/>
    </xf>
    <xf numFmtId="0" fontId="3" fillId="0" borderId="158" xfId="12" applyFont="1" applyBorder="1" applyAlignment="1">
      <alignment horizontal="center" vertical="center"/>
    </xf>
    <xf numFmtId="0" fontId="3" fillId="0" borderId="118" xfId="12" applyFont="1" applyBorder="1" applyAlignment="1">
      <alignment horizontal="center" vertical="center"/>
    </xf>
    <xf numFmtId="0" fontId="3" fillId="0" borderId="72" xfId="12" applyFont="1" applyBorder="1" applyAlignment="1">
      <alignment horizontal="center" vertical="center"/>
    </xf>
    <xf numFmtId="164" fontId="25" fillId="14" borderId="25" xfId="9" applyFont="1" applyFill="1" applyBorder="1" applyAlignment="1">
      <alignment vertical="center"/>
    </xf>
    <xf numFmtId="164" fontId="25" fillId="14" borderId="119" xfId="9" applyFont="1" applyFill="1" applyBorder="1" applyAlignment="1">
      <alignment vertical="center"/>
    </xf>
    <xf numFmtId="43" fontId="24" fillId="14" borderId="160" xfId="12" applyNumberFormat="1" applyFont="1" applyFill="1" applyBorder="1" applyAlignment="1">
      <alignment horizontal="center" vertical="center"/>
    </xf>
    <xf numFmtId="43" fontId="24" fillId="0" borderId="105" xfId="12" applyNumberFormat="1" applyFont="1" applyFill="1" applyBorder="1" applyAlignment="1">
      <alignment horizontal="right" vertical="center"/>
    </xf>
    <xf numFmtId="43" fontId="24" fillId="0" borderId="101" xfId="12" applyNumberFormat="1" applyFont="1" applyBorder="1" applyAlignment="1">
      <alignment horizontal="right" vertical="center"/>
    </xf>
    <xf numFmtId="43" fontId="24" fillId="0" borderId="105" xfId="12" applyNumberFormat="1" applyFont="1" applyBorder="1" applyAlignment="1">
      <alignment horizontal="center" vertical="center"/>
    </xf>
    <xf numFmtId="43" fontId="24" fillId="0" borderId="99" xfId="12" applyNumberFormat="1" applyFont="1" applyFill="1" applyBorder="1" applyAlignment="1">
      <alignment horizontal="right" vertical="center"/>
    </xf>
    <xf numFmtId="43" fontId="24" fillId="0" borderId="29" xfId="12" applyNumberFormat="1" applyFont="1" applyFill="1" applyBorder="1" applyAlignment="1">
      <alignment horizontal="right" vertical="center"/>
    </xf>
    <xf numFmtId="43" fontId="24" fillId="0" borderId="161" xfId="12" applyNumberFormat="1" applyFont="1" applyFill="1" applyBorder="1" applyAlignment="1">
      <alignment horizontal="center" vertical="center"/>
    </xf>
    <xf numFmtId="43" fontId="24" fillId="0" borderId="161" xfId="12" applyNumberFormat="1" applyFont="1" applyBorder="1" applyAlignment="1">
      <alignment horizontal="right" vertical="center"/>
    </xf>
    <xf numFmtId="43" fontId="24" fillId="0" borderId="162" xfId="12" applyNumberFormat="1" applyFont="1" applyBorder="1" applyAlignment="1">
      <alignment horizontal="center" vertical="center"/>
    </xf>
    <xf numFmtId="4" fontId="11" fillId="0" borderId="114" xfId="12" applyNumberFormat="1" applyFont="1" applyBorder="1" applyAlignment="1">
      <alignment horizontal="right" vertical="center"/>
    </xf>
    <xf numFmtId="4" fontId="11" fillId="15" borderId="124" xfId="12" applyNumberFormat="1" applyFont="1" applyFill="1" applyBorder="1" applyAlignment="1">
      <alignment horizontal="right" vertical="center"/>
    </xf>
    <xf numFmtId="4" fontId="32" fillId="0" borderId="163" xfId="12" applyNumberFormat="1" applyFont="1" applyBorder="1" applyAlignment="1">
      <alignment horizontal="right" vertical="center"/>
    </xf>
    <xf numFmtId="4" fontId="1" fillId="0" borderId="0" xfId="12" applyNumberFormat="1" applyFont="1" applyAlignment="1">
      <alignment vertical="center"/>
    </xf>
    <xf numFmtId="0" fontId="24" fillId="0" borderId="23" xfId="12" applyFont="1" applyBorder="1" applyAlignment="1">
      <alignment horizontal="left" vertical="top"/>
    </xf>
    <xf numFmtId="0" fontId="24" fillId="0" borderId="35" xfId="12" applyFont="1" applyBorder="1" applyAlignment="1">
      <alignment vertical="center"/>
    </xf>
    <xf numFmtId="0" fontId="24" fillId="0" borderId="0" xfId="11" applyFont="1" applyBorder="1" applyAlignment="1">
      <alignment vertical="center"/>
    </xf>
    <xf numFmtId="0" fontId="24" fillId="0" borderId="0" xfId="11" applyFont="1" applyAlignment="1">
      <alignment vertical="center"/>
    </xf>
    <xf numFmtId="0" fontId="24" fillId="0" borderId="0" xfId="11" applyFont="1" applyAlignment="1">
      <alignment horizontal="center" vertical="center"/>
    </xf>
    <xf numFmtId="0" fontId="24" fillId="0" borderId="0" xfId="0" applyFont="1" applyAlignment="1">
      <alignment horizontal="left" vertical="center" indent="5"/>
    </xf>
    <xf numFmtId="0" fontId="24" fillId="0" borderId="152" xfId="0" applyFont="1" applyBorder="1" applyAlignment="1">
      <alignment vertical="center"/>
    </xf>
    <xf numFmtId="0" fontId="24" fillId="0" borderId="70" xfId="0" applyFont="1" applyBorder="1" applyAlignment="1">
      <alignment vertical="center"/>
    </xf>
    <xf numFmtId="176" fontId="25" fillId="0" borderId="3" xfId="9" applyNumberFormat="1" applyFont="1" applyFill="1" applyBorder="1" applyAlignment="1" applyProtection="1">
      <alignment horizontal="center" vertical="center"/>
      <protection locked="0"/>
    </xf>
    <xf numFmtId="176" fontId="25" fillId="0" borderId="120" xfId="9" applyNumberFormat="1" applyFont="1" applyFill="1" applyBorder="1" applyAlignment="1" applyProtection="1">
      <alignment horizontal="center" vertical="center"/>
      <protection locked="0"/>
    </xf>
    <xf numFmtId="176" fontId="25" fillId="0" borderId="137" xfId="9" applyNumberFormat="1" applyFont="1" applyFill="1" applyBorder="1" applyAlignment="1" applyProtection="1">
      <alignment horizontal="center" vertical="center"/>
      <protection locked="0"/>
    </xf>
    <xf numFmtId="176" fontId="25" fillId="0" borderId="98" xfId="9" applyNumberFormat="1" applyFont="1" applyFill="1" applyBorder="1" applyAlignment="1" applyProtection="1">
      <alignment horizontal="center" vertical="center"/>
      <protection locked="0"/>
    </xf>
    <xf numFmtId="39" fontId="25" fillId="0" borderId="137" xfId="9" applyNumberFormat="1" applyFont="1" applyFill="1" applyBorder="1" applyAlignment="1" applyProtection="1">
      <alignment horizontal="center" vertical="center"/>
      <protection locked="0"/>
    </xf>
    <xf numFmtId="0" fontId="24" fillId="0" borderId="3" xfId="11" applyFont="1" applyBorder="1" applyAlignment="1">
      <alignment horizontal="left" vertical="center"/>
    </xf>
    <xf numFmtId="0" fontId="24" fillId="0" borderId="52" xfId="11" applyFont="1" applyBorder="1" applyAlignment="1">
      <alignment horizontal="left" vertical="center"/>
    </xf>
    <xf numFmtId="176" fontId="25" fillId="0" borderId="118" xfId="9" applyNumberFormat="1" applyFont="1" applyFill="1" applyBorder="1" applyAlignment="1" applyProtection="1">
      <alignment horizontal="center" vertical="center"/>
      <protection locked="0"/>
    </xf>
    <xf numFmtId="39" fontId="25" fillId="0" borderId="0" xfId="9" applyNumberFormat="1" applyFont="1" applyFill="1" applyBorder="1" applyAlignment="1" applyProtection="1">
      <alignment horizontal="center" vertical="center"/>
      <protection locked="0"/>
    </xf>
    <xf numFmtId="0" fontId="24" fillId="0" borderId="54" xfId="11" applyFont="1" applyBorder="1" applyAlignment="1">
      <alignment horizontal="left" vertical="center"/>
    </xf>
    <xf numFmtId="49" fontId="25" fillId="0" borderId="101" xfId="9" applyNumberFormat="1" applyFont="1" applyFill="1" applyBorder="1" applyAlignment="1" applyProtection="1">
      <alignment horizontal="center" vertical="center"/>
      <protection locked="0"/>
    </xf>
    <xf numFmtId="164" fontId="30" fillId="14" borderId="168" xfId="9" applyFont="1" applyFill="1" applyBorder="1" applyAlignment="1">
      <alignment horizontal="center" vertical="center"/>
    </xf>
    <xf numFmtId="164" fontId="30" fillId="14" borderId="5" xfId="9" applyFont="1" applyFill="1" applyBorder="1" applyAlignment="1">
      <alignment horizontal="center" vertical="center"/>
    </xf>
    <xf numFmtId="164" fontId="30" fillId="14" borderId="10" xfId="9" applyFont="1" applyFill="1" applyBorder="1" applyAlignment="1">
      <alignment horizontal="center" vertical="center"/>
    </xf>
    <xf numFmtId="0" fontId="3" fillId="14" borderId="88" xfId="12" applyFont="1" applyFill="1" applyBorder="1" applyAlignment="1">
      <alignment horizontal="left" vertical="center"/>
    </xf>
    <xf numFmtId="43" fontId="25" fillId="14" borderId="89" xfId="9" applyNumberFormat="1" applyFont="1" applyFill="1" applyBorder="1" applyAlignment="1" applyProtection="1">
      <alignment horizontal="right" vertical="center"/>
      <protection locked="0"/>
    </xf>
    <xf numFmtId="43" fontId="25" fillId="14" borderId="89" xfId="9" applyNumberFormat="1" applyFont="1" applyFill="1" applyBorder="1" applyAlignment="1" applyProtection="1">
      <alignment horizontal="center" vertical="center"/>
      <protection locked="0"/>
    </xf>
    <xf numFmtId="164" fontId="25" fillId="0" borderId="85" xfId="9" applyFont="1" applyBorder="1" applyAlignment="1">
      <alignment horizontal="center" vertical="center"/>
    </xf>
    <xf numFmtId="164" fontId="25" fillId="0" borderId="101" xfId="9" applyFont="1" applyBorder="1" applyAlignment="1">
      <alignment horizontal="center" vertical="center"/>
    </xf>
    <xf numFmtId="0" fontId="24" fillId="0" borderId="89" xfId="12" applyFont="1" applyBorder="1" applyAlignment="1">
      <alignment horizontal="center" vertical="center"/>
    </xf>
    <xf numFmtId="43" fontId="25" fillId="0" borderId="89" xfId="9" applyNumberFormat="1" applyFont="1" applyBorder="1" applyAlignment="1" applyProtection="1">
      <alignment horizontal="right" vertical="center"/>
      <protection locked="0"/>
    </xf>
    <xf numFmtId="10" fontId="25" fillId="0" borderId="89" xfId="9" applyNumberFormat="1" applyFont="1" applyBorder="1" applyAlignment="1" applyProtection="1">
      <alignment horizontal="right" vertical="center"/>
      <protection locked="0"/>
    </xf>
    <xf numFmtId="43" fontId="25" fillId="0" borderId="89" xfId="9" applyNumberFormat="1" applyFont="1" applyBorder="1" applyAlignment="1" applyProtection="1">
      <alignment horizontal="center" vertical="center"/>
      <protection locked="0"/>
    </xf>
    <xf numFmtId="164" fontId="25" fillId="0" borderId="88" xfId="9" applyFont="1" applyBorder="1" applyAlignment="1">
      <alignment horizontal="center" vertical="center"/>
    </xf>
    <xf numFmtId="0" fontId="24" fillId="0" borderId="89" xfId="0" applyFont="1" applyBorder="1" applyAlignment="1">
      <alignment horizontal="left" vertical="center"/>
    </xf>
    <xf numFmtId="0" fontId="24" fillId="14" borderId="89" xfId="12" applyFont="1" applyFill="1" applyBorder="1" applyAlignment="1">
      <alignment horizontal="center" vertical="center"/>
    </xf>
    <xf numFmtId="164" fontId="25" fillId="0" borderId="152" xfId="9" applyFont="1" applyBorder="1" applyAlignment="1">
      <alignment horizontal="center" vertical="center"/>
    </xf>
    <xf numFmtId="164" fontId="25" fillId="0" borderId="137" xfId="9" applyFont="1" applyBorder="1" applyAlignment="1">
      <alignment horizontal="center" vertical="center"/>
    </xf>
    <xf numFmtId="164" fontId="25" fillId="0" borderId="71" xfId="9" applyFont="1" applyBorder="1" applyAlignment="1">
      <alignment horizontal="center" vertical="center"/>
    </xf>
    <xf numFmtId="0" fontId="24" fillId="0" borderId="114" xfId="12" applyFont="1" applyBorder="1" applyAlignment="1">
      <alignment horizontal="left" vertical="center"/>
    </xf>
    <xf numFmtId="0" fontId="24" fillId="0" borderId="114" xfId="12" applyFont="1" applyBorder="1" applyAlignment="1">
      <alignment horizontal="center" vertical="center"/>
    </xf>
    <xf numFmtId="43" fontId="25" fillId="0" borderId="114" xfId="9" applyNumberFormat="1" applyFont="1" applyBorder="1" applyAlignment="1" applyProtection="1">
      <alignment horizontal="right" vertical="center"/>
      <protection locked="0"/>
    </xf>
    <xf numFmtId="10" fontId="25" fillId="0" borderId="114" xfId="9" applyNumberFormat="1" applyFont="1" applyBorder="1" applyAlignment="1" applyProtection="1">
      <alignment horizontal="right" vertical="center"/>
      <protection locked="0"/>
    </xf>
    <xf numFmtId="43" fontId="25" fillId="0" borderId="114" xfId="9" applyNumberFormat="1" applyFont="1" applyBorder="1" applyAlignment="1" applyProtection="1">
      <alignment horizontal="center" vertical="center"/>
      <protection locked="0"/>
    </xf>
    <xf numFmtId="168" fontId="24" fillId="0" borderId="10" xfId="12" applyNumberFormat="1" applyFont="1" applyBorder="1" applyAlignment="1">
      <alignment horizontal="center" vertical="center"/>
    </xf>
    <xf numFmtId="164" fontId="25" fillId="0" borderId="10" xfId="9" applyFont="1" applyBorder="1" applyAlignment="1">
      <alignment horizontal="center" vertical="center"/>
    </xf>
    <xf numFmtId="0" fontId="24" fillId="0" borderId="10" xfId="12" applyFont="1" applyBorder="1" applyAlignment="1">
      <alignment horizontal="left" vertical="center"/>
    </xf>
    <xf numFmtId="43" fontId="25" fillId="0" borderId="10" xfId="9" applyNumberFormat="1" applyFont="1" applyBorder="1" applyAlignment="1" applyProtection="1">
      <alignment horizontal="right" vertical="center"/>
      <protection locked="0"/>
    </xf>
    <xf numFmtId="10" fontId="25" fillId="0" borderId="10" xfId="9" applyNumberFormat="1" applyFont="1" applyBorder="1" applyAlignment="1" applyProtection="1">
      <alignment horizontal="right" vertical="center"/>
      <protection locked="0"/>
    </xf>
    <xf numFmtId="43" fontId="25" fillId="0" borderId="10" xfId="9" applyNumberFormat="1" applyFont="1" applyBorder="1" applyAlignment="1" applyProtection="1">
      <alignment horizontal="center" vertical="center"/>
      <protection locked="0"/>
    </xf>
    <xf numFmtId="164" fontId="30" fillId="14" borderId="100" xfId="9" applyFont="1" applyFill="1" applyBorder="1" applyAlignment="1">
      <alignment horizontal="center" vertical="center"/>
    </xf>
    <xf numFmtId="164" fontId="30" fillId="14" borderId="37" xfId="9" applyFont="1" applyFill="1" applyBorder="1" applyAlignment="1">
      <alignment horizontal="center" vertical="center"/>
    </xf>
    <xf numFmtId="164" fontId="30" fillId="14" borderId="54" xfId="9" applyFont="1" applyFill="1" applyBorder="1" applyAlignment="1">
      <alignment horizontal="center" vertical="center"/>
    </xf>
    <xf numFmtId="0" fontId="3" fillId="14" borderId="101" xfId="12" applyFont="1" applyFill="1" applyBorder="1" applyAlignment="1">
      <alignment horizontal="left" vertical="center"/>
    </xf>
    <xf numFmtId="0" fontId="24" fillId="14" borderId="104" xfId="12" applyFont="1" applyFill="1" applyBorder="1" applyAlignment="1">
      <alignment horizontal="center" vertical="center"/>
    </xf>
    <xf numFmtId="43" fontId="25" fillId="14" borderId="104" xfId="9" applyNumberFormat="1" applyFont="1" applyFill="1" applyBorder="1" applyAlignment="1" applyProtection="1">
      <alignment horizontal="right" vertical="center"/>
      <protection locked="0"/>
    </xf>
    <xf numFmtId="43" fontId="25" fillId="14" borderId="104" xfId="9" applyNumberFormat="1" applyFont="1" applyFill="1" applyBorder="1" applyAlignment="1" applyProtection="1">
      <alignment horizontal="center" vertical="center"/>
      <protection locked="0"/>
    </xf>
    <xf numFmtId="43" fontId="34" fillId="0" borderId="89" xfId="9" applyNumberFormat="1" applyFont="1" applyBorder="1" applyAlignment="1" applyProtection="1">
      <alignment horizontal="right" vertical="center"/>
      <protection locked="0"/>
    </xf>
    <xf numFmtId="10" fontId="25" fillId="0" borderId="114" xfId="2" applyNumberFormat="1" applyFont="1" applyFill="1" applyBorder="1" applyAlignment="1" applyProtection="1">
      <alignment horizontal="right" vertical="center"/>
      <protection locked="0"/>
    </xf>
    <xf numFmtId="0" fontId="24" fillId="0" borderId="0" xfId="11" applyFont="1" applyBorder="1" applyAlignment="1">
      <alignment horizontal="left" vertical="center"/>
    </xf>
    <xf numFmtId="0" fontId="24" fillId="0" borderId="109" xfId="11" applyFont="1" applyBorder="1" applyAlignment="1">
      <alignment vertical="center"/>
    </xf>
    <xf numFmtId="0" fontId="24" fillId="0" borderId="109" xfId="11" applyFont="1" applyBorder="1" applyAlignment="1">
      <alignment vertical="center" wrapText="1"/>
    </xf>
    <xf numFmtId="177" fontId="24" fillId="0" borderId="142" xfId="11" applyNumberFormat="1" applyFont="1" applyBorder="1" applyAlignment="1">
      <alignment horizontal="center" vertical="center" wrapText="1"/>
    </xf>
    <xf numFmtId="0" fontId="3" fillId="0" borderId="3" xfId="11" applyFont="1" applyBorder="1" applyAlignment="1">
      <alignment horizontal="left" vertical="center"/>
    </xf>
    <xf numFmtId="0" fontId="3" fillId="0" borderId="0" xfId="11" applyFont="1" applyBorder="1" applyAlignment="1">
      <alignment horizontal="left" vertical="center"/>
    </xf>
    <xf numFmtId="0" fontId="24" fillId="0" borderId="0" xfId="11" applyFont="1" applyBorder="1" applyAlignment="1">
      <alignment horizontal="center" vertical="center"/>
    </xf>
    <xf numFmtId="0" fontId="34" fillId="0" borderId="3" xfId="11" applyFont="1" applyBorder="1" applyAlignment="1">
      <alignment horizontal="left" vertical="center"/>
    </xf>
    <xf numFmtId="0" fontId="34" fillId="0" borderId="0" xfId="11" applyFont="1" applyBorder="1" applyAlignment="1">
      <alignment horizontal="left" vertical="center"/>
    </xf>
    <xf numFmtId="0" fontId="28" fillId="0" borderId="0" xfId="11" applyFont="1" applyBorder="1" applyAlignment="1">
      <alignment horizontal="left" vertical="center"/>
    </xf>
    <xf numFmtId="0" fontId="24" fillId="0" borderId="33" xfId="11" applyFont="1" applyBorder="1" applyAlignment="1">
      <alignment horizontal="left" vertical="center"/>
    </xf>
    <xf numFmtId="0" fontId="24" fillId="0" borderId="34" xfId="11" applyFont="1" applyBorder="1" applyAlignment="1">
      <alignment horizontal="left" vertical="center"/>
    </xf>
    <xf numFmtId="0" fontId="24" fillId="0" borderId="34" xfId="11" applyFont="1" applyBorder="1" applyAlignment="1">
      <alignment horizontal="center" vertical="center"/>
    </xf>
    <xf numFmtId="175" fontId="24" fillId="0" borderId="0" xfId="0" applyNumberFormat="1" applyFont="1" applyAlignment="1">
      <alignment vertical="center"/>
    </xf>
    <xf numFmtId="172" fontId="24" fillId="0" borderId="0" xfId="11" applyNumberFormat="1" applyFont="1" applyAlignment="1">
      <alignment vertical="top"/>
    </xf>
    <xf numFmtId="40" fontId="24" fillId="0" borderId="52" xfId="1" applyFont="1" applyBorder="1" applyAlignment="1">
      <alignment horizontal="center" vertical="center" wrapText="1"/>
    </xf>
    <xf numFmtId="40" fontId="3" fillId="0" borderId="120" xfId="1" applyFont="1" applyBorder="1" applyAlignment="1">
      <alignment horizontal="center" vertical="center" wrapText="1"/>
    </xf>
    <xf numFmtId="40" fontId="3" fillId="0" borderId="129" xfId="1" applyFont="1" applyBorder="1" applyAlignment="1">
      <alignment horizontal="center" vertical="center" wrapText="1"/>
    </xf>
    <xf numFmtId="39" fontId="30" fillId="0" borderId="52" xfId="9" applyNumberFormat="1" applyFont="1" applyFill="1" applyBorder="1" applyAlignment="1" applyProtection="1">
      <alignment horizontal="center" vertical="center"/>
      <protection locked="0"/>
    </xf>
    <xf numFmtId="39" fontId="30" fillId="0" borderId="158" xfId="9" applyNumberFormat="1" applyFont="1" applyFill="1" applyBorder="1" applyAlignment="1" applyProtection="1">
      <alignment horizontal="center" vertical="center"/>
      <protection locked="0"/>
    </xf>
    <xf numFmtId="43" fontId="24" fillId="14" borderId="89" xfId="1" applyNumberFormat="1" applyFont="1" applyFill="1" applyBorder="1" applyAlignment="1" applyProtection="1">
      <alignment horizontal="right" vertical="center"/>
      <protection locked="0"/>
    </xf>
    <xf numFmtId="43" fontId="24" fillId="14" borderId="102" xfId="1" applyNumberFormat="1" applyFont="1" applyFill="1" applyBorder="1" applyAlignment="1" applyProtection="1">
      <alignment horizontal="right" vertical="center"/>
      <protection locked="0"/>
    </xf>
    <xf numFmtId="43" fontId="25" fillId="14" borderId="102" xfId="9" applyNumberFormat="1" applyFont="1" applyFill="1" applyBorder="1" applyAlignment="1" applyProtection="1">
      <alignment horizontal="center" vertical="center"/>
      <protection locked="0"/>
    </xf>
    <xf numFmtId="43" fontId="25" fillId="14" borderId="59" xfId="9" applyNumberFormat="1" applyFont="1" applyFill="1" applyBorder="1" applyAlignment="1" applyProtection="1">
      <alignment horizontal="center" vertical="center"/>
      <protection locked="0"/>
    </xf>
    <xf numFmtId="43" fontId="24" fillId="0" borderId="89" xfId="1" applyNumberFormat="1" applyFont="1" applyFill="1" applyBorder="1" applyAlignment="1" applyProtection="1">
      <alignment horizontal="right" vertical="center"/>
      <protection locked="0"/>
    </xf>
    <xf numFmtId="43" fontId="24" fillId="0" borderId="86" xfId="1" applyNumberFormat="1" applyFont="1" applyFill="1" applyBorder="1" applyAlignment="1" applyProtection="1">
      <alignment horizontal="right" vertical="center"/>
      <protection locked="0"/>
    </xf>
    <xf numFmtId="43" fontId="25" fillId="0" borderId="86" xfId="9" applyNumberFormat="1" applyFont="1" applyBorder="1" applyAlignment="1" applyProtection="1">
      <alignment horizontal="center" vertical="center"/>
      <protection locked="0"/>
    </xf>
    <xf numFmtId="43" fontId="25" fillId="0" borderId="25" xfId="9" applyNumberFormat="1" applyFont="1" applyBorder="1" applyAlignment="1" applyProtection="1">
      <alignment horizontal="center" vertical="center"/>
      <protection locked="0"/>
    </xf>
    <xf numFmtId="0" fontId="3" fillId="0" borderId="0" xfId="11" applyNumberFormat="1" applyFont="1" applyAlignment="1">
      <alignment vertical="center"/>
    </xf>
    <xf numFmtId="43" fontId="24" fillId="14" borderId="86" xfId="1" applyNumberFormat="1" applyFont="1" applyFill="1" applyBorder="1" applyAlignment="1" applyProtection="1">
      <alignment horizontal="right" vertical="center"/>
      <protection locked="0"/>
    </xf>
    <xf numFmtId="43" fontId="24" fillId="14" borderId="25" xfId="1" applyNumberFormat="1" applyFont="1" applyFill="1" applyBorder="1" applyAlignment="1" applyProtection="1">
      <alignment horizontal="right" vertical="center"/>
      <protection locked="0"/>
    </xf>
    <xf numFmtId="43" fontId="24" fillId="0" borderId="155" xfId="1" applyNumberFormat="1" applyFont="1" applyFill="1" applyBorder="1" applyAlignment="1" applyProtection="1">
      <alignment horizontal="right" vertical="center"/>
      <protection locked="0"/>
    </xf>
    <xf numFmtId="43" fontId="25" fillId="0" borderId="155" xfId="9" applyNumberFormat="1" applyFont="1" applyBorder="1" applyAlignment="1" applyProtection="1">
      <alignment horizontal="center" vertical="center"/>
      <protection locked="0"/>
    </xf>
    <xf numFmtId="43" fontId="25" fillId="0" borderId="129" xfId="9" applyNumberFormat="1" applyFont="1" applyBorder="1" applyAlignment="1" applyProtection="1">
      <alignment horizontal="center" vertical="center"/>
      <protection locked="0"/>
    </xf>
    <xf numFmtId="43" fontId="24" fillId="0" borderId="10" xfId="1" applyNumberFormat="1" applyFont="1" applyFill="1" applyBorder="1" applyAlignment="1" applyProtection="1">
      <alignment horizontal="right" vertical="center"/>
      <protection locked="0"/>
    </xf>
    <xf numFmtId="43" fontId="24" fillId="14" borderId="104" xfId="1" applyNumberFormat="1" applyFont="1" applyFill="1" applyBorder="1" applyAlignment="1" applyProtection="1">
      <alignment horizontal="right" vertical="center"/>
      <protection locked="0"/>
    </xf>
    <xf numFmtId="43" fontId="24" fillId="14" borderId="59" xfId="1" applyNumberFormat="1" applyFont="1" applyFill="1" applyBorder="1" applyAlignment="1" applyProtection="1">
      <alignment horizontal="right" vertical="center"/>
      <protection locked="0"/>
    </xf>
    <xf numFmtId="175" fontId="3" fillId="0" borderId="0" xfId="11" applyNumberFormat="1" applyFont="1" applyAlignment="1">
      <alignment vertical="center"/>
    </xf>
    <xf numFmtId="0" fontId="36" fillId="0" borderId="0" xfId="0" applyFont="1" applyAlignment="1">
      <alignment horizontal="right"/>
    </xf>
    <xf numFmtId="0" fontId="0" fillId="0" borderId="0" xfId="0" applyAlignment="1">
      <alignment horizontal="right"/>
    </xf>
    <xf numFmtId="43" fontId="33" fillId="0" borderId="5" xfId="11" applyNumberFormat="1" applyFont="1" applyBorder="1" applyAlignment="1">
      <alignment vertical="center"/>
    </xf>
    <xf numFmtId="43" fontId="33" fillId="0" borderId="24" xfId="11" applyNumberFormat="1" applyFont="1" applyBorder="1" applyAlignment="1">
      <alignment horizontal="right" vertical="center"/>
    </xf>
    <xf numFmtId="0" fontId="24" fillId="0" borderId="0" xfId="11" applyFont="1" applyBorder="1" applyAlignment="1">
      <alignment horizontal="right" vertical="center"/>
    </xf>
    <xf numFmtId="175" fontId="24" fillId="0" borderId="0" xfId="11" applyNumberFormat="1" applyFont="1" applyBorder="1" applyAlignment="1">
      <alignment vertical="center"/>
    </xf>
    <xf numFmtId="43" fontId="6" fillId="0" borderId="24" xfId="11" applyNumberFormat="1" applyFont="1" applyBorder="1" applyAlignment="1">
      <alignment horizontal="right" vertical="center"/>
    </xf>
    <xf numFmtId="0" fontId="24" fillId="0" borderId="0" xfId="11" applyFont="1" applyBorder="1" applyAlignment="1">
      <alignment vertical="center" wrapText="1"/>
    </xf>
    <xf numFmtId="0" fontId="24" fillId="0" borderId="23" xfId="11" applyFont="1" applyBorder="1" applyAlignment="1">
      <alignment vertical="center" wrapText="1"/>
    </xf>
    <xf numFmtId="0" fontId="24" fillId="0" borderId="158" xfId="11" applyFont="1" applyBorder="1" applyAlignment="1">
      <alignment horizontal="left" vertical="center"/>
    </xf>
    <xf numFmtId="0" fontId="24" fillId="0" borderId="23" xfId="11" applyFont="1" applyBorder="1" applyAlignment="1">
      <alignment vertical="center"/>
    </xf>
    <xf numFmtId="0" fontId="24" fillId="0" borderId="34" xfId="11" applyFont="1" applyBorder="1" applyAlignment="1">
      <alignment vertical="center"/>
    </xf>
    <xf numFmtId="0" fontId="24" fillId="0" borderId="35" xfId="11" applyFont="1" applyBorder="1" applyAlignment="1">
      <alignment vertical="center"/>
    </xf>
    <xf numFmtId="0" fontId="24" fillId="0" borderId="0" xfId="0" applyFont="1" applyAlignment="1">
      <alignment horizontal="justify"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24" fillId="0" borderId="173" xfId="0" applyFont="1" applyBorder="1" applyAlignment="1">
      <alignment horizontal="left" vertical="top"/>
    </xf>
    <xf numFmtId="0" fontId="3" fillId="0" borderId="70" xfId="0" applyFont="1" applyBorder="1" applyAlignment="1">
      <alignment horizontal="left" vertical="top"/>
    </xf>
    <xf numFmtId="0" fontId="34" fillId="0" borderId="174" xfId="0" applyFont="1" applyBorder="1" applyAlignment="1">
      <alignment horizontal="left" vertical="top" indent="1"/>
    </xf>
    <xf numFmtId="0" fontId="34" fillId="0" borderId="0" xfId="0" applyFont="1" applyBorder="1" applyAlignment="1">
      <alignment horizontal="left" vertical="top" indent="1"/>
    </xf>
    <xf numFmtId="0" fontId="34" fillId="0" borderId="174" xfId="0" applyFont="1" applyBorder="1" applyAlignment="1">
      <alignment horizontal="left" vertical="center" indent="2"/>
    </xf>
    <xf numFmtId="0" fontId="34" fillId="0" borderId="0" xfId="0" applyFont="1" applyBorder="1" applyAlignment="1">
      <alignment horizontal="left" vertical="center" indent="2"/>
    </xf>
    <xf numFmtId="0" fontId="24" fillId="0" borderId="184" xfId="0" applyFont="1" applyBorder="1" applyAlignment="1">
      <alignment horizontal="left" vertical="center" indent="1"/>
    </xf>
    <xf numFmtId="0" fontId="24" fillId="0" borderId="185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justify" vertical="top"/>
    </xf>
    <xf numFmtId="4" fontId="24" fillId="0" borderId="0" xfId="0" applyNumberFormat="1" applyFont="1" applyAlignment="1">
      <alignment vertical="center"/>
    </xf>
    <xf numFmtId="0" fontId="3" fillId="0" borderId="70" xfId="0" applyFont="1" applyBorder="1" applyAlignment="1">
      <alignment horizontal="center" vertical="top"/>
    </xf>
    <xf numFmtId="0" fontId="3" fillId="0" borderId="188" xfId="0" applyFont="1" applyBorder="1" applyAlignment="1">
      <alignment horizontal="center" vertical="top"/>
    </xf>
    <xf numFmtId="0" fontId="34" fillId="0" borderId="189" xfId="0" applyFont="1" applyBorder="1" applyAlignment="1">
      <alignment horizontal="left" vertical="top" indent="1"/>
    </xf>
    <xf numFmtId="0" fontId="34" fillId="0" borderId="189" xfId="0" applyFont="1" applyBorder="1" applyAlignment="1">
      <alignment horizontal="left" vertical="center" indent="2"/>
    </xf>
    <xf numFmtId="0" fontId="24" fillId="0" borderId="195" xfId="0" applyFont="1" applyBorder="1" applyAlignment="1">
      <alignment horizontal="left" vertical="center" indent="1"/>
    </xf>
    <xf numFmtId="10" fontId="24" fillId="0" borderId="0" xfId="2" applyNumberFormat="1" applyFont="1" applyAlignment="1">
      <alignment vertical="center"/>
    </xf>
    <xf numFmtId="178" fontId="24" fillId="0" borderId="0" xfId="0" applyNumberFormat="1" applyFont="1" applyAlignment="1">
      <alignment vertical="center"/>
    </xf>
    <xf numFmtId="179" fontId="24" fillId="0" borderId="0" xfId="0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/>
    <xf numFmtId="44" fontId="0" fillId="2" borderId="0" xfId="0" applyNumberFormat="1" applyFont="1" applyFill="1"/>
    <xf numFmtId="0" fontId="1" fillId="2" borderId="2" xfId="0" applyFont="1" applyFill="1" applyBorder="1" applyAlignment="1">
      <alignment vertical="center"/>
    </xf>
    <xf numFmtId="180" fontId="4" fillId="2" borderId="2" xfId="1" applyNumberFormat="1" applyFont="1" applyFill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80" fontId="4" fillId="2" borderId="0" xfId="1" applyNumberFormat="1" applyFont="1" applyFill="1" applyBorder="1" applyAlignment="1">
      <alignment vertical="center"/>
    </xf>
    <xf numFmtId="44" fontId="4" fillId="2" borderId="0" xfId="0" applyNumberFormat="1" applyFont="1" applyFill="1" applyBorder="1" applyAlignment="1">
      <alignment vertical="center"/>
    </xf>
    <xf numFmtId="0" fontId="33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180" fontId="4" fillId="2" borderId="0" xfId="1" applyNumberFormat="1" applyFont="1" applyFill="1" applyBorder="1" applyAlignment="1">
      <alignment horizontal="center" vertical="center"/>
    </xf>
    <xf numFmtId="167" fontId="4" fillId="2" borderId="0" xfId="3" applyNumberFormat="1" applyFont="1" applyFill="1" applyBorder="1" applyAlignment="1">
      <alignment horizontal="right" vertical="center"/>
    </xf>
    <xf numFmtId="44" fontId="4" fillId="2" borderId="0" xfId="3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44" fontId="9" fillId="2" borderId="10" xfId="0" applyNumberFormat="1" applyFont="1" applyFill="1" applyBorder="1" applyAlignment="1">
      <alignment horizontal="center" vertical="center" wrapText="1"/>
    </xf>
    <xf numFmtId="0" fontId="38" fillId="16" borderId="9" xfId="0" applyFont="1" applyFill="1" applyBorder="1" applyAlignment="1">
      <alignment horizontal="left" vertical="center" wrapText="1"/>
    </xf>
    <xf numFmtId="0" fontId="38" fillId="16" borderId="10" xfId="0" applyFont="1" applyFill="1" applyBorder="1" applyAlignment="1">
      <alignment horizontal="center" vertical="center" wrapText="1"/>
    </xf>
    <xf numFmtId="0" fontId="38" fillId="16" borderId="10" xfId="0" applyFont="1" applyFill="1" applyBorder="1" applyAlignment="1">
      <alignment horizontal="left" vertical="center" wrapText="1"/>
    </xf>
    <xf numFmtId="0" fontId="38" fillId="16" borderId="10" xfId="0" applyFont="1" applyFill="1" applyBorder="1" applyAlignment="1">
      <alignment horizontal="left" vertical="center"/>
    </xf>
    <xf numFmtId="0" fontId="38" fillId="16" borderId="10" xfId="0" applyFont="1" applyFill="1" applyBorder="1" applyAlignment="1">
      <alignment horizontal="right" vertical="center" wrapText="1"/>
    </xf>
    <xf numFmtId="44" fontId="39" fillId="16" borderId="10" xfId="0" applyNumberFormat="1" applyFont="1" applyFill="1" applyBorder="1" applyAlignment="1">
      <alignment horizontal="left" vertical="center" wrapText="1"/>
    </xf>
    <xf numFmtId="0" fontId="38" fillId="17" borderId="9" xfId="0" applyFont="1" applyFill="1" applyBorder="1" applyAlignment="1">
      <alignment horizontal="left" vertical="center" wrapText="1"/>
    </xf>
    <xf numFmtId="0" fontId="38" fillId="17" borderId="10" xfId="0" applyFont="1" applyFill="1" applyBorder="1" applyAlignment="1">
      <alignment horizontal="center" vertical="center" wrapText="1"/>
    </xf>
    <xf numFmtId="0" fontId="38" fillId="17" borderId="10" xfId="0" applyFont="1" applyFill="1" applyBorder="1" applyAlignment="1">
      <alignment horizontal="left" vertical="center" wrapText="1"/>
    </xf>
    <xf numFmtId="0" fontId="38" fillId="17" borderId="10" xfId="0" applyFont="1" applyFill="1" applyBorder="1" applyAlignment="1">
      <alignment horizontal="left" vertical="center"/>
    </xf>
    <xf numFmtId="4" fontId="38" fillId="17" borderId="10" xfId="0" applyNumberFormat="1" applyFont="1" applyFill="1" applyBorder="1" applyAlignment="1">
      <alignment horizontal="right" vertical="center" wrapText="1"/>
    </xf>
    <xf numFmtId="44" fontId="39" fillId="17" borderId="10" xfId="0" applyNumberFormat="1" applyFont="1" applyFill="1" applyBorder="1" applyAlignment="1">
      <alignment horizontal="left" vertical="center" wrapText="1"/>
    </xf>
    <xf numFmtId="0" fontId="39" fillId="2" borderId="9" xfId="0" applyFont="1" applyFill="1" applyBorder="1" applyAlignment="1">
      <alignment horizontal="left" vertical="center" wrapText="1"/>
    </xf>
    <xf numFmtId="164" fontId="40" fillId="2" borderId="10" xfId="9" applyFont="1" applyFill="1" applyBorder="1" applyAlignment="1">
      <alignment horizontal="center" vertical="center"/>
    </xf>
    <xf numFmtId="0" fontId="4" fillId="2" borderId="10" xfId="12" applyFont="1" applyFill="1" applyBorder="1" applyAlignment="1">
      <alignment horizontal="left" vertical="center"/>
    </xf>
    <xf numFmtId="0" fontId="4" fillId="2" borderId="10" xfId="12" applyFont="1" applyFill="1" applyBorder="1" applyAlignment="1">
      <alignment horizontal="center" vertical="center"/>
    </xf>
    <xf numFmtId="4" fontId="39" fillId="2" borderId="10" xfId="0" applyNumberFormat="1" applyFont="1" applyFill="1" applyBorder="1" applyAlignment="1">
      <alignment horizontal="right" vertical="center" wrapText="1"/>
    </xf>
    <xf numFmtId="181" fontId="38" fillId="2" borderId="10" xfId="0" applyNumberFormat="1" applyFont="1" applyFill="1" applyBorder="1" applyAlignment="1">
      <alignment horizontal="right" vertical="center" wrapText="1"/>
    </xf>
    <xf numFmtId="44" fontId="39" fillId="2" borderId="10" xfId="0" applyNumberFormat="1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/>
    </xf>
    <xf numFmtId="168" fontId="4" fillId="2" borderId="10" xfId="12" applyNumberFormat="1" applyFont="1" applyFill="1" applyBorder="1" applyAlignment="1">
      <alignment horizontal="center" vertical="center"/>
    </xf>
    <xf numFmtId="181" fontId="9" fillId="2" borderId="10" xfId="3" applyNumberFormat="1" applyFont="1" applyFill="1" applyBorder="1" applyAlignment="1">
      <alignment horizontal="right" vertical="center" wrapText="1"/>
    </xf>
    <xf numFmtId="0" fontId="39" fillId="2" borderId="3" xfId="0" applyFont="1" applyFill="1" applyBorder="1" applyAlignment="1">
      <alignment horizontal="left" vertical="center" wrapText="1"/>
    </xf>
    <xf numFmtId="164" fontId="40" fillId="2" borderId="0" xfId="9" applyFont="1" applyFill="1" applyBorder="1" applyAlignment="1">
      <alignment horizontal="center" vertical="center"/>
    </xf>
    <xf numFmtId="0" fontId="4" fillId="2" borderId="0" xfId="12" applyFont="1" applyFill="1" applyBorder="1" applyAlignment="1">
      <alignment horizontal="left" vertical="center"/>
    </xf>
    <xf numFmtId="0" fontId="39" fillId="2" borderId="0" xfId="0" applyFont="1" applyFill="1" applyBorder="1" applyAlignment="1">
      <alignment horizontal="center" vertical="center" wrapText="1"/>
    </xf>
    <xf numFmtId="4" fontId="39" fillId="2" borderId="0" xfId="0" applyNumberFormat="1" applyFont="1" applyFill="1" applyBorder="1" applyAlignment="1">
      <alignment horizontal="right" vertical="center" wrapText="1"/>
    </xf>
    <xf numFmtId="181" fontId="9" fillId="2" borderId="0" xfId="3" applyNumberFormat="1" applyFont="1" applyFill="1" applyBorder="1" applyAlignment="1">
      <alignment horizontal="right" vertical="center" wrapText="1"/>
    </xf>
    <xf numFmtId="44" fontId="39" fillId="2" borderId="0" xfId="0" applyNumberFormat="1" applyFont="1" applyFill="1" applyBorder="1" applyAlignment="1">
      <alignment horizontal="left" vertical="center" wrapText="1"/>
    </xf>
    <xf numFmtId="0" fontId="39" fillId="17" borderId="10" xfId="0" applyFont="1" applyFill="1" applyBorder="1" applyAlignment="1">
      <alignment horizontal="left" vertical="center" wrapText="1"/>
    </xf>
    <xf numFmtId="4" fontId="39" fillId="17" borderId="10" xfId="0" applyNumberFormat="1" applyFont="1" applyFill="1" applyBorder="1" applyAlignment="1">
      <alignment horizontal="right" vertical="center" wrapText="1"/>
    </xf>
    <xf numFmtId="0" fontId="39" fillId="2" borderId="10" xfId="0" applyFont="1" applyFill="1" applyBorder="1" applyAlignment="1">
      <alignment horizontal="left" vertical="center"/>
    </xf>
    <xf numFmtId="0" fontId="39" fillId="2" borderId="10" xfId="0" applyFont="1" applyFill="1" applyBorder="1" applyAlignment="1">
      <alignment horizontal="center" vertical="center" wrapText="1"/>
    </xf>
    <xf numFmtId="44" fontId="9" fillId="2" borderId="10" xfId="3" applyFont="1" applyFill="1" applyBorder="1" applyAlignment="1">
      <alignment horizontal="right" vertical="center" wrapText="1"/>
    </xf>
    <xf numFmtId="0" fontId="39" fillId="2" borderId="0" xfId="0" applyFont="1" applyFill="1" applyBorder="1" applyAlignment="1">
      <alignment horizontal="left" vertical="center" wrapText="1"/>
    </xf>
    <xf numFmtId="0" fontId="39" fillId="2" borderId="0" xfId="0" applyFont="1" applyFill="1" applyBorder="1" applyAlignment="1">
      <alignment horizontal="left" vertical="center"/>
    </xf>
    <xf numFmtId="44" fontId="9" fillId="2" borderId="0" xfId="3" applyFont="1" applyFill="1" applyBorder="1" applyAlignment="1">
      <alignment horizontal="right" vertical="center" wrapText="1"/>
    </xf>
    <xf numFmtId="44" fontId="39" fillId="2" borderId="0" xfId="3" applyNumberFormat="1" applyFont="1" applyFill="1" applyBorder="1" applyAlignment="1">
      <alignment horizontal="right" vertical="center" wrapText="1"/>
    </xf>
    <xf numFmtId="0" fontId="39" fillId="16" borderId="10" xfId="0" applyFont="1" applyFill="1" applyBorder="1" applyAlignment="1">
      <alignment horizontal="left" vertical="center" wrapText="1"/>
    </xf>
    <xf numFmtId="4" fontId="39" fillId="16" borderId="10" xfId="0" applyNumberFormat="1" applyFont="1" applyFill="1" applyBorder="1" applyAlignment="1">
      <alignment horizontal="right" vertical="center" wrapText="1"/>
    </xf>
    <xf numFmtId="0" fontId="4" fillId="2" borderId="10" xfId="13" applyNumberFormat="1" applyFont="1" applyFill="1" applyBorder="1" applyAlignment="1">
      <alignment vertical="center" wrapText="1"/>
    </xf>
    <xf numFmtId="44" fontId="38" fillId="2" borderId="10" xfId="0" applyNumberFormat="1" applyFont="1" applyFill="1" applyBorder="1" applyAlignment="1">
      <alignment vertical="center" wrapText="1"/>
    </xf>
    <xf numFmtId="0" fontId="23" fillId="2" borderId="10" xfId="0" applyFont="1" applyFill="1" applyBorder="1" applyAlignment="1">
      <alignment horizontal="center" vertical="center"/>
    </xf>
    <xf numFmtId="0" fontId="4" fillId="2" borderId="10" xfId="13" applyFont="1" applyFill="1" applyBorder="1" applyAlignment="1">
      <alignment vertical="center" wrapText="1"/>
    </xf>
    <xf numFmtId="0" fontId="23" fillId="2" borderId="0" xfId="0" applyFont="1" applyFill="1" applyBorder="1" applyAlignment="1">
      <alignment vertical="center"/>
    </xf>
    <xf numFmtId="0" fontId="4" fillId="2" borderId="0" xfId="13" applyFont="1" applyFill="1" applyBorder="1" applyAlignment="1">
      <alignment vertical="center"/>
    </xf>
    <xf numFmtId="0" fontId="4" fillId="2" borderId="0" xfId="12" applyFont="1" applyFill="1" applyBorder="1" applyAlignment="1">
      <alignment horizontal="center" vertical="center"/>
    </xf>
    <xf numFmtId="44" fontId="9" fillId="2" borderId="0" xfId="3" applyNumberFormat="1" applyFont="1" applyFill="1" applyBorder="1" applyAlignment="1">
      <alignment vertical="center" wrapText="1"/>
    </xf>
    <xf numFmtId="0" fontId="39" fillId="2" borderId="10" xfId="0" applyFont="1" applyFill="1" applyBorder="1" applyAlignment="1">
      <alignment horizontal="center"/>
    </xf>
    <xf numFmtId="0" fontId="23" fillId="2" borderId="10" xfId="0" applyFont="1" applyFill="1" applyBorder="1" applyAlignment="1">
      <alignment vertical="center"/>
    </xf>
    <xf numFmtId="43" fontId="4" fillId="2" borderId="10" xfId="13" applyNumberFormat="1" applyFont="1" applyFill="1" applyBorder="1" applyAlignment="1">
      <alignment vertical="center" wrapText="1"/>
    </xf>
    <xf numFmtId="44" fontId="4" fillId="2" borderId="10" xfId="3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horizontal="right" vertical="center" wrapText="1"/>
    </xf>
    <xf numFmtId="0" fontId="4" fillId="18" borderId="0" xfId="0" applyFont="1" applyFill="1" applyBorder="1" applyAlignment="1">
      <alignment horizontal="left" vertical="center"/>
    </xf>
    <xf numFmtId="182" fontId="4" fillId="2" borderId="22" xfId="0" applyNumberFormat="1" applyFont="1" applyFill="1" applyBorder="1" applyAlignment="1">
      <alignment vertical="center"/>
    </xf>
    <xf numFmtId="182" fontId="4" fillId="2" borderId="23" xfId="0" applyNumberFormat="1" applyFont="1" applyFill="1" applyBorder="1" applyAlignment="1">
      <alignment vertical="center"/>
    </xf>
    <xf numFmtId="172" fontId="24" fillId="0" borderId="0" xfId="11" applyNumberFormat="1" applyFont="1" applyAlignment="1">
      <alignment vertical="center"/>
    </xf>
    <xf numFmtId="10" fontId="9" fillId="2" borderId="45" xfId="2" applyNumberFormat="1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right" vertical="center" wrapText="1"/>
    </xf>
    <xf numFmtId="44" fontId="38" fillId="16" borderId="25" xfId="0" applyNumberFormat="1" applyFont="1" applyFill="1" applyBorder="1" applyAlignment="1">
      <alignment horizontal="right" vertical="center" wrapText="1"/>
    </xf>
    <xf numFmtId="44" fontId="38" fillId="17" borderId="25" xfId="0" applyNumberFormat="1" applyFont="1" applyFill="1" applyBorder="1" applyAlignment="1">
      <alignment horizontal="right" vertical="center" wrapText="1"/>
    </xf>
    <xf numFmtId="4" fontId="0" fillId="2" borderId="0" xfId="0" applyNumberFormat="1" applyFill="1"/>
    <xf numFmtId="44" fontId="38" fillId="2" borderId="25" xfId="0" applyNumberFormat="1" applyFont="1" applyFill="1" applyBorder="1" applyAlignment="1">
      <alignment horizontal="right" vertical="center" wrapText="1"/>
    </xf>
    <xf numFmtId="44" fontId="38" fillId="2" borderId="23" xfId="0" applyNumberFormat="1" applyFont="1" applyFill="1" applyBorder="1" applyAlignment="1">
      <alignment horizontal="right" vertical="center" wrapText="1"/>
    </xf>
    <xf numFmtId="44" fontId="41" fillId="17" borderId="25" xfId="0" applyNumberFormat="1" applyFont="1" applyFill="1" applyBorder="1" applyAlignment="1">
      <alignment horizontal="right" vertical="center" wrapText="1"/>
    </xf>
    <xf numFmtId="44" fontId="39" fillId="2" borderId="25" xfId="3" applyNumberFormat="1" applyFont="1" applyFill="1" applyBorder="1" applyAlignment="1">
      <alignment horizontal="right" vertical="center" wrapText="1"/>
    </xf>
    <xf numFmtId="172" fontId="0" fillId="2" borderId="0" xfId="0" applyNumberFormat="1" applyFill="1" applyAlignment="1">
      <alignment vertical="center"/>
    </xf>
    <xf numFmtId="44" fontId="39" fillId="2" borderId="23" xfId="3" applyNumberFormat="1" applyFont="1" applyFill="1" applyBorder="1" applyAlignment="1">
      <alignment horizontal="right" vertical="center" wrapText="1"/>
    </xf>
    <xf numFmtId="43" fontId="0" fillId="2" borderId="0" xfId="0" applyNumberFormat="1" applyFill="1"/>
    <xf numFmtId="0" fontId="0" fillId="2" borderId="0" xfId="0" applyFill="1" applyAlignment="1">
      <alignment vertical="top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44" fontId="9" fillId="2" borderId="0" xfId="0" applyNumberFormat="1" applyFont="1" applyFill="1" applyBorder="1" applyAlignment="1">
      <alignment vertical="center" wrapText="1"/>
    </xf>
    <xf numFmtId="0" fontId="38" fillId="2" borderId="0" xfId="0" applyFont="1" applyFill="1" applyBorder="1" applyAlignment="1">
      <alignment vertical="center" wrapText="1"/>
    </xf>
    <xf numFmtId="0" fontId="38" fillId="2" borderId="0" xfId="0" applyFont="1" applyFill="1" applyBorder="1" applyAlignment="1">
      <alignment vertical="center"/>
    </xf>
    <xf numFmtId="44" fontId="39" fillId="2" borderId="0" xfId="0" applyNumberFormat="1" applyFont="1" applyFill="1" applyBorder="1" applyAlignment="1">
      <alignment vertical="center" wrapText="1"/>
    </xf>
    <xf numFmtId="0" fontId="38" fillId="14" borderId="10" xfId="0" applyFont="1" applyFill="1" applyBorder="1" applyAlignment="1">
      <alignment vertical="top" wrapText="1"/>
    </xf>
    <xf numFmtId="0" fontId="38" fillId="14" borderId="8" xfId="0" applyFont="1" applyFill="1" applyBorder="1" applyAlignment="1">
      <alignment vertical="top" wrapText="1"/>
    </xf>
    <xf numFmtId="0" fontId="38" fillId="14" borderId="116" xfId="0" applyFont="1" applyFill="1" applyBorder="1" applyAlignment="1">
      <alignment vertical="top" wrapText="1"/>
    </xf>
    <xf numFmtId="4" fontId="38" fillId="14" borderId="10" xfId="0" applyNumberFormat="1" applyFont="1" applyFill="1" applyBorder="1" applyAlignment="1">
      <alignment vertical="top" wrapText="1"/>
    </xf>
    <xf numFmtId="44" fontId="38" fillId="14" borderId="10" xfId="0" applyNumberFormat="1" applyFont="1" applyFill="1" applyBorder="1" applyAlignment="1">
      <alignment vertical="top" wrapText="1"/>
    </xf>
    <xf numFmtId="0" fontId="4" fillId="2" borderId="10" xfId="12" applyFont="1" applyFill="1" applyBorder="1" applyAlignment="1">
      <alignment vertical="center"/>
    </xf>
    <xf numFmtId="4" fontId="39" fillId="2" borderId="10" xfId="0" applyNumberFormat="1" applyFont="1" applyFill="1" applyBorder="1" applyAlignment="1">
      <alignment vertical="center" wrapText="1"/>
    </xf>
    <xf numFmtId="181" fontId="38" fillId="2" borderId="10" xfId="0" applyNumberFormat="1" applyFont="1" applyFill="1" applyBorder="1" applyAlignment="1">
      <alignment vertical="center" wrapText="1"/>
    </xf>
    <xf numFmtId="0" fontId="39" fillId="2" borderId="0" xfId="0" applyFont="1" applyFill="1" applyBorder="1" applyAlignment="1">
      <alignment vertical="center" wrapText="1"/>
    </xf>
    <xf numFmtId="164" fontId="40" fillId="2" borderId="0" xfId="9" applyFont="1" applyFill="1" applyBorder="1" applyAlignment="1">
      <alignment vertical="center"/>
    </xf>
    <xf numFmtId="0" fontId="4" fillId="2" borderId="0" xfId="12" applyFont="1" applyFill="1" applyBorder="1" applyAlignment="1">
      <alignment vertical="center"/>
    </xf>
    <xf numFmtId="4" fontId="39" fillId="2" borderId="0" xfId="0" applyNumberFormat="1" applyFont="1" applyFill="1" applyBorder="1" applyAlignment="1">
      <alignment vertical="center" wrapText="1"/>
    </xf>
    <xf numFmtId="181" fontId="38" fillId="2" borderId="0" xfId="0" applyNumberFormat="1" applyFont="1" applyFill="1" applyBorder="1" applyAlignment="1">
      <alignment vertical="center" wrapText="1"/>
    </xf>
    <xf numFmtId="168" fontId="4" fillId="2" borderId="0" xfId="12" applyNumberFormat="1" applyFont="1" applyFill="1" applyBorder="1" applyAlignment="1">
      <alignment vertical="center"/>
    </xf>
    <xf numFmtId="181" fontId="9" fillId="2" borderId="0" xfId="3" applyNumberFormat="1" applyFont="1" applyFill="1" applyBorder="1" applyAlignment="1">
      <alignment vertical="center" wrapText="1"/>
    </xf>
    <xf numFmtId="0" fontId="39" fillId="2" borderId="0" xfId="0" applyFont="1" applyFill="1" applyBorder="1" applyAlignment="1">
      <alignment vertical="center"/>
    </xf>
    <xf numFmtId="44" fontId="9" fillId="2" borderId="0" xfId="3" applyFont="1" applyFill="1" applyBorder="1" applyAlignment="1">
      <alignment vertical="center" wrapText="1"/>
    </xf>
    <xf numFmtId="44" fontId="39" fillId="2" borderId="0" xfId="3" applyNumberFormat="1" applyFont="1" applyFill="1" applyBorder="1" applyAlignment="1">
      <alignment vertical="center" wrapText="1"/>
    </xf>
    <xf numFmtId="0" fontId="4" fillId="2" borderId="0" xfId="13" applyNumberFormat="1" applyFont="1" applyFill="1" applyBorder="1" applyAlignment="1">
      <alignment vertical="center" wrapText="1"/>
    </xf>
    <xf numFmtId="44" fontId="38" fillId="2" borderId="0" xfId="0" applyNumberFormat="1" applyFont="1" applyFill="1" applyBorder="1" applyAlignment="1">
      <alignment vertical="center" wrapText="1"/>
    </xf>
    <xf numFmtId="0" fontId="4" fillId="2" borderId="0" xfId="13" applyFont="1" applyFill="1" applyBorder="1" applyAlignment="1">
      <alignment vertical="center" wrapText="1"/>
    </xf>
    <xf numFmtId="4" fontId="38" fillId="2" borderId="0" xfId="0" applyNumberFormat="1" applyFont="1" applyFill="1" applyBorder="1" applyAlignment="1">
      <alignment vertical="center" wrapText="1"/>
    </xf>
    <xf numFmtId="0" fontId="39" fillId="2" borderId="0" xfId="0" applyFont="1" applyFill="1" applyBorder="1" applyAlignment="1"/>
    <xf numFmtId="43" fontId="4" fillId="2" borderId="0" xfId="13" applyNumberFormat="1" applyFont="1" applyFill="1" applyBorder="1" applyAlignment="1">
      <alignment vertical="center" wrapText="1"/>
    </xf>
    <xf numFmtId="44" fontId="4" fillId="2" borderId="0" xfId="3" applyFont="1" applyFill="1" applyBorder="1" applyAlignment="1">
      <alignment vertical="center" wrapText="1"/>
    </xf>
    <xf numFmtId="44" fontId="4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44" fontId="5" fillId="2" borderId="0" xfId="3" applyNumberFormat="1" applyFont="1" applyFill="1" applyBorder="1" applyAlignment="1">
      <alignment vertical="center" wrapText="1"/>
    </xf>
    <xf numFmtId="4" fontId="0" fillId="2" borderId="0" xfId="0" applyNumberFormat="1" applyFill="1" applyAlignment="1">
      <alignment vertical="top"/>
    </xf>
    <xf numFmtId="181" fontId="0" fillId="2" borderId="0" xfId="0" applyNumberFormat="1" applyFill="1" applyAlignment="1">
      <alignment vertical="center"/>
    </xf>
    <xf numFmtId="44" fontId="41" fillId="2" borderId="0" xfId="0" applyNumberFormat="1" applyFont="1" applyFill="1" applyBorder="1" applyAlignment="1">
      <alignment vertical="center" wrapText="1"/>
    </xf>
    <xf numFmtId="176" fontId="25" fillId="0" borderId="118" xfId="9" quotePrefix="1" applyNumberFormat="1" applyFont="1" applyFill="1" applyBorder="1" applyAlignment="1" applyProtection="1">
      <alignment horizontal="center" vertical="center"/>
      <protection locked="0"/>
    </xf>
    <xf numFmtId="176" fontId="25" fillId="0" borderId="101" xfId="9" quotePrefix="1" applyNumberFormat="1" applyFont="1" applyFill="1" applyBorder="1" applyAlignment="1" applyProtection="1">
      <alignment horizontal="center" vertical="center"/>
      <protection locked="0"/>
    </xf>
    <xf numFmtId="39" fontId="25" fillId="0" borderId="101" xfId="9" quotePrefix="1" applyNumberFormat="1" applyFont="1" applyFill="1" applyBorder="1" applyAlignment="1" applyProtection="1">
      <alignment horizontal="center" vertical="center"/>
      <protection locked="0"/>
    </xf>
    <xf numFmtId="39" fontId="25" fillId="0" borderId="103" xfId="9" quotePrefix="1" applyNumberFormat="1" applyFont="1" applyFill="1" applyBorder="1" applyAlignment="1" applyProtection="1">
      <alignment horizontal="center" vertical="center"/>
      <protection locked="0"/>
    </xf>
    <xf numFmtId="40" fontId="24" fillId="0" borderId="171" xfId="1" quotePrefix="1" applyFont="1" applyBorder="1" applyAlignment="1">
      <alignment horizontal="center" vertical="center"/>
    </xf>
    <xf numFmtId="39" fontId="25" fillId="0" borderId="54" xfId="9" quotePrefix="1" applyNumberFormat="1" applyFont="1" applyFill="1" applyBorder="1" applyAlignment="1" applyProtection="1">
      <alignment horizontal="center" vertical="center"/>
      <protection locked="0"/>
    </xf>
    <xf numFmtId="39" fontId="25" fillId="0" borderId="59" xfId="9" quotePrefix="1" applyNumberFormat="1" applyFont="1" applyFill="1" applyBorder="1" applyAlignment="1" applyProtection="1">
      <alignment horizontal="center" vertical="center"/>
      <protection locked="0"/>
    </xf>
    <xf numFmtId="176" fontId="3" fillId="0" borderId="137" xfId="12" quotePrefix="1" applyNumberFormat="1" applyFont="1" applyBorder="1" applyAlignment="1">
      <alignment horizontal="center" vertical="center"/>
    </xf>
    <xf numFmtId="176" fontId="3" fillId="0" borderId="0" xfId="12" quotePrefix="1" applyNumberFormat="1" applyFont="1" applyBorder="1" applyAlignment="1">
      <alignment horizontal="center" vertical="center"/>
    </xf>
    <xf numFmtId="176" fontId="3" fillId="0" borderId="57" xfId="12" quotePrefix="1" applyNumberFormat="1" applyFont="1" applyBorder="1" applyAlignment="1">
      <alignment horizontal="center" vertical="center"/>
    </xf>
    <xf numFmtId="176" fontId="3" fillId="0" borderId="119" xfId="12" quotePrefix="1" applyNumberFormat="1" applyFont="1" applyBorder="1" applyAlignment="1">
      <alignment horizontal="center" vertical="center"/>
    </xf>
    <xf numFmtId="176" fontId="3" fillId="0" borderId="59" xfId="12" quotePrefix="1" applyNumberFormat="1" applyFont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180" fontId="37" fillId="8" borderId="31" xfId="1" applyNumberFormat="1" applyFont="1" applyFill="1" applyBorder="1" applyAlignment="1">
      <alignment horizontal="center" vertical="center" wrapText="1"/>
    </xf>
    <xf numFmtId="44" fontId="37" fillId="8" borderId="31" xfId="0" applyNumberFormat="1" applyFont="1" applyFill="1" applyBorder="1" applyAlignment="1">
      <alignment horizontal="center" vertical="center" wrapText="1"/>
    </xf>
    <xf numFmtId="182" fontId="5" fillId="8" borderId="3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right" vertical="center"/>
    </xf>
    <xf numFmtId="44" fontId="4" fillId="2" borderId="47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80" fontId="37" fillId="2" borderId="2" xfId="1" applyNumberFormat="1" applyFont="1" applyFill="1" applyBorder="1" applyAlignment="1">
      <alignment horizontal="center" vertical="center"/>
    </xf>
    <xf numFmtId="44" fontId="37" fillId="2" borderId="2" xfId="0" applyNumberFormat="1" applyFont="1" applyFill="1" applyBorder="1" applyAlignment="1">
      <alignment horizontal="center" vertical="center"/>
    </xf>
    <xf numFmtId="182" fontId="5" fillId="2" borderId="22" xfId="0" applyNumberFormat="1" applyFont="1" applyFill="1" applyBorder="1" applyAlignment="1">
      <alignment horizontal="center" vertical="center"/>
    </xf>
    <xf numFmtId="164" fontId="40" fillId="2" borderId="8" xfId="9" applyFont="1" applyFill="1" applyBorder="1" applyAlignment="1">
      <alignment horizontal="left" vertical="center"/>
    </xf>
    <xf numFmtId="164" fontId="40" fillId="2" borderId="116" xfId="9" applyFont="1" applyFill="1" applyBorder="1" applyAlignment="1">
      <alignment horizontal="left" vertical="center"/>
    </xf>
    <xf numFmtId="0" fontId="39" fillId="2" borderId="8" xfId="0" applyFont="1" applyFill="1" applyBorder="1" applyAlignment="1">
      <alignment horizontal="left" vertical="center" wrapText="1"/>
    </xf>
    <xf numFmtId="0" fontId="39" fillId="2" borderId="116" xfId="0" applyFont="1" applyFill="1" applyBorder="1" applyAlignment="1">
      <alignment horizontal="left" vertical="center" wrapText="1"/>
    </xf>
    <xf numFmtId="0" fontId="9" fillId="18" borderId="3" xfId="0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horizontal="left" vertical="center" wrapText="1"/>
    </xf>
    <xf numFmtId="44" fontId="4" fillId="18" borderId="0" xfId="0" applyNumberFormat="1" applyFont="1" applyFill="1" applyBorder="1" applyAlignment="1">
      <alignment horizontal="right" vertical="center" wrapText="1"/>
    </xf>
    <xf numFmtId="44" fontId="9" fillId="18" borderId="23" xfId="0" applyNumberFormat="1" applyFont="1" applyFill="1" applyBorder="1" applyAlignment="1">
      <alignment horizontal="right" vertical="center" wrapText="1"/>
    </xf>
    <xf numFmtId="0" fontId="5" fillId="18" borderId="30" xfId="0" applyFont="1" applyFill="1" applyBorder="1" applyAlignment="1">
      <alignment horizontal="right" vertical="center" wrapText="1"/>
    </xf>
    <xf numFmtId="0" fontId="5" fillId="18" borderId="31" xfId="0" applyFont="1" applyFill="1" applyBorder="1" applyAlignment="1">
      <alignment horizontal="right" vertical="center" wrapText="1"/>
    </xf>
    <xf numFmtId="0" fontId="5" fillId="18" borderId="31" xfId="0" applyFont="1" applyFill="1" applyBorder="1" applyAlignment="1">
      <alignment horizontal="right" vertical="center"/>
    </xf>
    <xf numFmtId="44" fontId="5" fillId="18" borderId="31" xfId="3" applyNumberFormat="1" applyFont="1" applyFill="1" applyBorder="1" applyAlignment="1">
      <alignment horizontal="right" vertical="center" wrapText="1"/>
    </xf>
    <xf numFmtId="44" fontId="5" fillId="18" borderId="32" xfId="3" applyNumberFormat="1" applyFont="1" applyFill="1" applyBorder="1" applyAlignment="1">
      <alignment horizontal="right" vertical="center" wrapText="1"/>
    </xf>
    <xf numFmtId="0" fontId="5" fillId="8" borderId="30" xfId="0" applyFont="1" applyFill="1" applyBorder="1" applyAlignment="1">
      <alignment horizontal="right" vertical="center" wrapText="1"/>
    </xf>
    <xf numFmtId="0" fontId="5" fillId="8" borderId="31" xfId="0" applyFont="1" applyFill="1" applyBorder="1" applyAlignment="1">
      <alignment horizontal="right" vertical="center" wrapText="1"/>
    </xf>
    <xf numFmtId="0" fontId="5" fillId="8" borderId="31" xfId="0" applyFont="1" applyFill="1" applyBorder="1" applyAlignment="1">
      <alignment horizontal="right" vertical="center"/>
    </xf>
    <xf numFmtId="44" fontId="5" fillId="8" borderId="31" xfId="3" applyNumberFormat="1" applyFont="1" applyFill="1" applyBorder="1" applyAlignment="1">
      <alignment horizontal="right" vertical="center" wrapText="1"/>
    </xf>
    <xf numFmtId="44" fontId="5" fillId="8" borderId="32" xfId="3" applyNumberFormat="1" applyFont="1" applyFill="1" applyBorder="1" applyAlignment="1">
      <alignment horizontal="right" vertical="center" wrapText="1"/>
    </xf>
    <xf numFmtId="0" fontId="24" fillId="13" borderId="186" xfId="0" applyFont="1" applyFill="1" applyBorder="1" applyAlignment="1">
      <alignment horizontal="left" vertical="top"/>
    </xf>
    <xf numFmtId="0" fontId="5" fillId="13" borderId="187" xfId="0" applyFont="1" applyFill="1" applyBorder="1" applyAlignment="1">
      <alignment horizontal="center" vertical="center"/>
    </xf>
    <xf numFmtId="0" fontId="24" fillId="0" borderId="173" xfId="0" applyFont="1" applyBorder="1" applyAlignment="1">
      <alignment horizontal="left" vertical="top"/>
    </xf>
    <xf numFmtId="0" fontId="24" fillId="0" borderId="70" xfId="0" applyFont="1" applyBorder="1" applyAlignment="1">
      <alignment horizontal="left" vertical="top"/>
    </xf>
    <xf numFmtId="0" fontId="24" fillId="0" borderId="71" xfId="0" applyFont="1" applyBorder="1" applyAlignment="1">
      <alignment horizontal="left" vertical="top"/>
    </xf>
    <xf numFmtId="0" fontId="24" fillId="0" borderId="155" xfId="0" applyFont="1" applyBorder="1" applyAlignment="1">
      <alignment horizontal="left" vertical="top"/>
    </xf>
    <xf numFmtId="0" fontId="24" fillId="0" borderId="188" xfId="0" applyFont="1" applyBorder="1" applyAlignment="1">
      <alignment horizontal="left" vertical="top"/>
    </xf>
    <xf numFmtId="0" fontId="3" fillId="0" borderId="174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37" xfId="0" applyFont="1" applyBorder="1" applyAlignment="1">
      <alignment horizontal="justify" vertical="top" wrapText="1"/>
    </xf>
    <xf numFmtId="0" fontId="24" fillId="0" borderId="138" xfId="0" applyFont="1" applyBorder="1" applyAlignment="1">
      <alignment horizontal="justify" vertical="top"/>
    </xf>
    <xf numFmtId="0" fontId="24" fillId="0" borderId="189" xfId="0" applyFont="1" applyBorder="1" applyAlignment="1">
      <alignment horizontal="justify" vertical="top"/>
    </xf>
    <xf numFmtId="0" fontId="3" fillId="0" borderId="175" xfId="0" applyFont="1" applyBorder="1" applyAlignment="1">
      <alignment horizontal="left" vertical="center"/>
    </xf>
    <xf numFmtId="0" fontId="3" fillId="0" borderId="176" xfId="0" applyFont="1" applyFill="1" applyBorder="1" applyAlignment="1">
      <alignment horizontal="left" vertical="center"/>
    </xf>
    <xf numFmtId="0" fontId="24" fillId="0" borderId="177" xfId="0" applyFont="1" applyFill="1" applyBorder="1" applyAlignment="1">
      <alignment horizontal="left" vertical="center" indent="2"/>
    </xf>
    <xf numFmtId="4" fontId="24" fillId="0" borderId="190" xfId="1" applyNumberFormat="1" applyFont="1" applyFill="1" applyBorder="1" applyAlignment="1" applyProtection="1">
      <alignment horizontal="right" vertical="center"/>
    </xf>
    <xf numFmtId="0" fontId="3" fillId="0" borderId="177" xfId="0" applyFont="1" applyFill="1" applyBorder="1" applyAlignment="1">
      <alignment horizontal="left" vertical="center" indent="1"/>
    </xf>
    <xf numFmtId="4" fontId="3" fillId="0" borderId="190" xfId="1" applyNumberFormat="1" applyFont="1" applyFill="1" applyBorder="1" applyAlignment="1" applyProtection="1">
      <alignment horizontal="right" vertical="center"/>
    </xf>
    <xf numFmtId="0" fontId="3" fillId="0" borderId="177" xfId="0" applyFont="1" applyFill="1" applyBorder="1" applyAlignment="1">
      <alignment horizontal="right" vertical="center" indent="1"/>
    </xf>
    <xf numFmtId="4" fontId="3" fillId="0" borderId="190" xfId="0" applyNumberFormat="1" applyFont="1" applyFill="1" applyBorder="1" applyAlignment="1">
      <alignment horizontal="right" vertical="center"/>
    </xf>
    <xf numFmtId="0" fontId="24" fillId="0" borderId="178" xfId="0" applyFont="1" applyFill="1" applyBorder="1" applyAlignment="1">
      <alignment horizontal="center" vertical="center"/>
    </xf>
    <xf numFmtId="0" fontId="24" fillId="0" borderId="87" xfId="0" applyFont="1" applyFill="1" applyBorder="1" applyAlignment="1">
      <alignment horizontal="center" vertical="center"/>
    </xf>
    <xf numFmtId="0" fontId="24" fillId="0" borderId="88" xfId="0" applyFont="1" applyFill="1" applyBorder="1" applyAlignment="1">
      <alignment horizontal="center" vertical="center"/>
    </xf>
    <xf numFmtId="4" fontId="24" fillId="0" borderId="190" xfId="1" applyNumberFormat="1" applyFont="1" applyFill="1" applyBorder="1" applyAlignment="1" applyProtection="1">
      <alignment horizontal="center" vertical="center"/>
    </xf>
    <xf numFmtId="0" fontId="11" fillId="0" borderId="179" xfId="0" applyFont="1" applyFill="1" applyBorder="1" applyAlignment="1">
      <alignment horizontal="right" vertical="center" indent="1"/>
    </xf>
    <xf numFmtId="4" fontId="11" fillId="0" borderId="135" xfId="0" applyNumberFormat="1" applyFont="1" applyFill="1" applyBorder="1" applyAlignment="1">
      <alignment horizontal="right" vertical="center"/>
    </xf>
    <xf numFmtId="0" fontId="11" fillId="8" borderId="179" xfId="0" applyFont="1" applyFill="1" applyBorder="1" applyAlignment="1">
      <alignment horizontal="right" vertical="center" indent="1"/>
    </xf>
    <xf numFmtId="4" fontId="11" fillId="8" borderId="135" xfId="0" applyNumberFormat="1" applyFont="1" applyFill="1" applyBorder="1" applyAlignment="1">
      <alignment horizontal="right" vertical="center"/>
    </xf>
    <xf numFmtId="0" fontId="24" fillId="0" borderId="180" xfId="0" applyFont="1" applyBorder="1" applyAlignment="1">
      <alignment horizontal="left" vertical="top"/>
    </xf>
    <xf numFmtId="0" fontId="24" fillId="0" borderId="191" xfId="0" applyFont="1" applyBorder="1" applyAlignment="1">
      <alignment horizontal="left" vertical="top"/>
    </xf>
    <xf numFmtId="0" fontId="24" fillId="0" borderId="181" xfId="0" applyFont="1" applyBorder="1" applyAlignment="1">
      <alignment horizontal="left" vertical="top" indent="1"/>
    </xf>
    <xf numFmtId="0" fontId="24" fillId="0" borderId="102" xfId="0" applyFont="1" applyBorder="1" applyAlignment="1">
      <alignment horizontal="left" vertical="top" indent="1"/>
    </xf>
    <xf numFmtId="0" fontId="24" fillId="0" borderId="103" xfId="0" applyFont="1" applyBorder="1" applyAlignment="1">
      <alignment horizontal="left" vertical="top" indent="1"/>
    </xf>
    <xf numFmtId="0" fontId="24" fillId="0" borderId="192" xfId="0" applyFont="1" applyBorder="1" applyAlignment="1">
      <alignment horizontal="left" vertical="top" indent="1"/>
    </xf>
    <xf numFmtId="0" fontId="24" fillId="0" borderId="182" xfId="0" applyFont="1" applyBorder="1" applyAlignment="1">
      <alignment horizontal="left" vertical="top"/>
    </xf>
    <xf numFmtId="0" fontId="24" fillId="0" borderId="193" xfId="0" applyFont="1" applyBorder="1" applyAlignment="1">
      <alignment horizontal="left" vertical="top"/>
    </xf>
    <xf numFmtId="0" fontId="24" fillId="0" borderId="181" xfId="0" applyFont="1" applyBorder="1" applyAlignment="1">
      <alignment horizontal="left" vertical="top"/>
    </xf>
    <xf numFmtId="14" fontId="24" fillId="0" borderId="194" xfId="0" applyNumberFormat="1" applyFont="1" applyBorder="1" applyAlignment="1">
      <alignment horizontal="left" vertical="top" indent="1"/>
    </xf>
    <xf numFmtId="0" fontId="24" fillId="0" borderId="194" xfId="0" applyFont="1" applyBorder="1" applyAlignment="1">
      <alignment horizontal="left" vertical="top" indent="1"/>
    </xf>
    <xf numFmtId="0" fontId="34" fillId="0" borderId="183" xfId="0" applyFont="1" applyBorder="1" applyAlignment="1">
      <alignment horizontal="left" vertical="top" indent="2"/>
    </xf>
    <xf numFmtId="0" fontId="5" fillId="13" borderId="172" xfId="0" applyFont="1" applyFill="1" applyBorder="1" applyAlignment="1">
      <alignment horizontal="center" vertical="center"/>
    </xf>
    <xf numFmtId="0" fontId="24" fillId="13" borderId="169" xfId="12" applyFont="1" applyFill="1" applyBorder="1" applyAlignment="1">
      <alignment horizontal="left" vertical="center"/>
    </xf>
    <xf numFmtId="0" fontId="24" fillId="13" borderId="2" xfId="12" applyFont="1" applyFill="1" applyBorder="1" applyAlignment="1">
      <alignment horizontal="left" vertical="center"/>
    </xf>
    <xf numFmtId="0" fontId="24" fillId="13" borderId="22" xfId="12" applyFont="1" applyFill="1" applyBorder="1" applyAlignment="1">
      <alignment horizontal="left" vertical="center"/>
    </xf>
    <xf numFmtId="0" fontId="5" fillId="13" borderId="170" xfId="12" applyFont="1" applyFill="1" applyBorder="1" applyAlignment="1">
      <alignment horizontal="center" vertical="center"/>
    </xf>
    <xf numFmtId="0" fontId="5" fillId="13" borderId="74" xfId="12" applyFont="1" applyFill="1" applyBorder="1" applyAlignment="1">
      <alignment horizontal="center" vertical="center"/>
    </xf>
    <xf numFmtId="0" fontId="5" fillId="13" borderId="125" xfId="12" applyFont="1" applyFill="1" applyBorder="1" applyAlignment="1">
      <alignment horizontal="center" vertical="center"/>
    </xf>
    <xf numFmtId="0" fontId="24" fillId="0" borderId="155" xfId="12" applyFont="1" applyBorder="1" applyAlignment="1">
      <alignment horizontal="left" vertical="top"/>
    </xf>
    <xf numFmtId="0" fontId="24" fillId="0" borderId="70" xfId="12" applyFont="1" applyBorder="1" applyAlignment="1">
      <alignment horizontal="left" vertical="top"/>
    </xf>
    <xf numFmtId="0" fontId="24" fillId="0" borderId="106" xfId="12" applyFont="1" applyBorder="1" applyAlignment="1">
      <alignment horizontal="left" vertical="top"/>
    </xf>
    <xf numFmtId="0" fontId="33" fillId="0" borderId="107" xfId="0" applyFont="1" applyBorder="1" applyAlignment="1">
      <alignment vertical="center"/>
    </xf>
    <xf numFmtId="0" fontId="33" fillId="0" borderId="108" xfId="0" applyFont="1" applyBorder="1" applyAlignment="1">
      <alignment vertical="center"/>
    </xf>
    <xf numFmtId="0" fontId="24" fillId="0" borderId="156" xfId="12" applyFont="1" applyBorder="1" applyAlignment="1">
      <alignment horizontal="center" vertical="center"/>
    </xf>
    <xf numFmtId="0" fontId="24" fillId="0" borderId="108" xfId="12" applyFont="1" applyBorder="1" applyAlignment="1">
      <alignment horizontal="center" vertical="center"/>
    </xf>
    <xf numFmtId="0" fontId="24" fillId="0" borderId="157" xfId="12" applyFont="1" applyBorder="1" applyAlignment="1">
      <alignment horizontal="center" vertical="center"/>
    </xf>
    <xf numFmtId="0" fontId="3" fillId="0" borderId="164" xfId="0" applyFont="1" applyBorder="1" applyAlignment="1">
      <alignment horizontal="center" vertical="center"/>
    </xf>
    <xf numFmtId="0" fontId="3" fillId="0" borderId="165" xfId="0" applyFont="1" applyBorder="1" applyAlignment="1">
      <alignment horizontal="center" vertical="center"/>
    </xf>
    <xf numFmtId="0" fontId="3" fillId="0" borderId="166" xfId="0" applyFont="1" applyBorder="1" applyAlignment="1">
      <alignment horizontal="center" vertical="center"/>
    </xf>
    <xf numFmtId="0" fontId="3" fillId="0" borderId="167" xfId="0" applyFont="1" applyBorder="1" applyAlignment="1">
      <alignment horizontal="center" vertical="center"/>
    </xf>
    <xf numFmtId="40" fontId="3" fillId="0" borderId="0" xfId="1" applyFont="1" applyBorder="1" applyAlignment="1">
      <alignment horizontal="center" vertical="center" wrapText="1"/>
    </xf>
    <xf numFmtId="40" fontId="3" fillId="0" borderId="118" xfId="1" applyFont="1" applyFill="1" applyBorder="1" applyAlignment="1" applyProtection="1">
      <alignment horizontal="center" vertical="center" wrapText="1"/>
    </xf>
    <xf numFmtId="40" fontId="3" fillId="0" borderId="23" xfId="1" applyFont="1" applyBorder="1" applyAlignment="1">
      <alignment horizontal="center" vertical="center" wrapText="1"/>
    </xf>
    <xf numFmtId="168" fontId="24" fillId="0" borderId="7" xfId="12" applyNumberFormat="1" applyFont="1" applyBorder="1" applyAlignment="1">
      <alignment horizontal="center" vertical="center"/>
    </xf>
    <xf numFmtId="168" fontId="24" fillId="0" borderId="6" xfId="12" applyNumberFormat="1" applyFont="1" applyBorder="1" applyAlignment="1">
      <alignment horizontal="center" vertical="center"/>
    </xf>
    <xf numFmtId="168" fontId="24" fillId="0" borderId="128" xfId="12" applyNumberFormat="1" applyFont="1" applyBorder="1" applyAlignment="1">
      <alignment horizontal="center" vertical="center"/>
    </xf>
    <xf numFmtId="164" fontId="30" fillId="0" borderId="4" xfId="9" applyFont="1" applyBorder="1" applyAlignment="1">
      <alignment horizontal="right" vertical="center" indent="1"/>
    </xf>
    <xf numFmtId="164" fontId="30" fillId="0" borderId="5" xfId="9" applyFont="1" applyBorder="1" applyAlignment="1">
      <alignment horizontal="right" vertical="center" indent="1"/>
    </xf>
    <xf numFmtId="164" fontId="35" fillId="0" borderId="3" xfId="9" applyFont="1" applyBorder="1" applyAlignment="1">
      <alignment horizontal="center" vertical="center"/>
    </xf>
    <xf numFmtId="164" fontId="35" fillId="0" borderId="0" xfId="9" applyFont="1" applyAlignment="1">
      <alignment horizontal="center" vertical="center"/>
    </xf>
    <xf numFmtId="164" fontId="35" fillId="0" borderId="23" xfId="9" applyFont="1" applyBorder="1" applyAlignment="1">
      <alignment horizontal="center" vertical="center"/>
    </xf>
    <xf numFmtId="164" fontId="35" fillId="0" borderId="4" xfId="9" applyFont="1" applyBorder="1" applyAlignment="1">
      <alignment horizontal="right" vertical="center" indent="1"/>
    </xf>
    <xf numFmtId="164" fontId="35" fillId="0" borderId="5" xfId="9" applyFont="1" applyBorder="1" applyAlignment="1">
      <alignment horizontal="right" vertical="center" indent="1"/>
    </xf>
    <xf numFmtId="0" fontId="24" fillId="0" borderId="3" xfId="11" applyFont="1" applyBorder="1" applyAlignment="1">
      <alignment horizontal="left" vertical="center"/>
    </xf>
    <xf numFmtId="0" fontId="24" fillId="0" borderId="0" xfId="11" applyFont="1" applyBorder="1" applyAlignment="1">
      <alignment horizontal="left" vertical="center"/>
    </xf>
    <xf numFmtId="0" fontId="24" fillId="0" borderId="69" xfId="11" applyFont="1" applyBorder="1" applyAlignment="1">
      <alignment horizontal="left" vertical="center"/>
    </xf>
    <xf numFmtId="0" fontId="24" fillId="0" borderId="70" xfId="11" applyFont="1" applyBorder="1" applyAlignment="1">
      <alignment horizontal="left" vertical="center"/>
    </xf>
    <xf numFmtId="0" fontId="24" fillId="0" borderId="36" xfId="11" applyFont="1" applyBorder="1" applyAlignment="1">
      <alignment horizontal="center" vertical="center" wrapText="1"/>
    </xf>
    <xf numFmtId="0" fontId="24" fillId="0" borderId="37" xfId="11" applyFont="1" applyBorder="1" applyAlignment="1">
      <alignment horizontal="center" vertical="center" wrapText="1"/>
    </xf>
    <xf numFmtId="0" fontId="24" fillId="0" borderId="142" xfId="11" applyFont="1" applyBorder="1" applyAlignment="1">
      <alignment horizontal="center" vertical="center" wrapText="1"/>
    </xf>
    <xf numFmtId="0" fontId="24" fillId="0" borderId="38" xfId="11" applyFont="1" applyBorder="1" applyAlignment="1">
      <alignment horizontal="center" vertical="center" wrapText="1"/>
    </xf>
    <xf numFmtId="40" fontId="24" fillId="0" borderId="52" xfId="1" applyFont="1" applyBorder="1" applyAlignment="1">
      <alignment horizontal="center" vertical="center" wrapText="1"/>
    </xf>
    <xf numFmtId="40" fontId="24" fillId="0" borderId="52" xfId="1" applyFont="1" applyFill="1" applyBorder="1" applyAlignment="1" applyProtection="1">
      <alignment horizontal="center" vertical="center" wrapText="1"/>
    </xf>
    <xf numFmtId="0" fontId="5" fillId="13" borderId="1" xfId="11" applyFont="1" applyFill="1" applyBorder="1" applyAlignment="1">
      <alignment horizontal="center" vertical="center"/>
    </xf>
    <xf numFmtId="0" fontId="5" fillId="13" borderId="2" xfId="11" applyFont="1" applyFill="1" applyBorder="1" applyAlignment="1">
      <alignment horizontal="center" vertical="center"/>
    </xf>
    <xf numFmtId="0" fontId="5" fillId="13" borderId="73" xfId="11" applyFont="1" applyFill="1" applyBorder="1" applyAlignment="1">
      <alignment horizontal="center" vertical="center"/>
    </xf>
    <xf numFmtId="0" fontId="5" fillId="13" borderId="74" xfId="11" applyFont="1" applyFill="1" applyBorder="1" applyAlignment="1">
      <alignment horizontal="center" vertical="center"/>
    </xf>
    <xf numFmtId="0" fontId="24" fillId="13" borderId="153" xfId="12" applyFont="1" applyFill="1" applyBorder="1" applyAlignment="1">
      <alignment horizontal="left" vertical="center"/>
    </xf>
    <xf numFmtId="0" fontId="24" fillId="13" borderId="65" xfId="12" applyFont="1" applyFill="1" applyBorder="1" applyAlignment="1">
      <alignment horizontal="left" vertical="center"/>
    </xf>
    <xf numFmtId="0" fontId="5" fillId="13" borderId="154" xfId="12" applyFont="1" applyFill="1" applyBorder="1" applyAlignment="1">
      <alignment horizontal="center" vertical="center"/>
    </xf>
    <xf numFmtId="0" fontId="5" fillId="13" borderId="68" xfId="12" applyFont="1" applyFill="1" applyBorder="1" applyAlignment="1">
      <alignment horizontal="center" vertical="center"/>
    </xf>
    <xf numFmtId="0" fontId="24" fillId="0" borderId="70" xfId="12" applyFont="1" applyBorder="1" applyAlignment="1">
      <alignment horizontal="center" vertical="top"/>
    </xf>
    <xf numFmtId="0" fontId="3" fillId="0" borderId="10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33" xfId="12" applyFont="1" applyBorder="1" applyAlignment="1">
      <alignment horizontal="center" vertical="center"/>
    </xf>
    <xf numFmtId="0" fontId="3" fillId="0" borderId="34" xfId="12" applyFont="1" applyBorder="1" applyAlignment="1">
      <alignment horizontal="center" vertical="center"/>
    </xf>
    <xf numFmtId="0" fontId="3" fillId="0" borderId="140" xfId="12" applyFont="1" applyBorder="1" applyAlignment="1">
      <alignment horizontal="center" vertical="center"/>
    </xf>
    <xf numFmtId="0" fontId="3" fillId="0" borderId="159" xfId="12" applyFont="1" applyBorder="1" applyAlignment="1">
      <alignment horizontal="center" vertical="center"/>
    </xf>
    <xf numFmtId="164" fontId="31" fillId="0" borderId="36" xfId="9" applyFont="1" applyBorder="1" applyAlignment="1">
      <alignment horizontal="right" vertical="center"/>
    </xf>
    <xf numFmtId="164" fontId="31" fillId="0" borderId="37" xfId="9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149" xfId="12" applyFont="1" applyBorder="1" applyAlignment="1">
      <alignment horizontal="center" vertical="center"/>
    </xf>
    <xf numFmtId="0" fontId="11" fillId="0" borderId="150" xfId="12" applyFont="1" applyBorder="1" applyAlignment="1">
      <alignment horizontal="center" vertical="center"/>
    </xf>
    <xf numFmtId="0" fontId="11" fillId="0" borderId="151" xfId="12" applyFont="1" applyBorder="1" applyAlignment="1">
      <alignment horizontal="center" vertical="center"/>
    </xf>
    <xf numFmtId="4" fontId="1" fillId="0" borderId="0" xfId="12" applyNumberFormat="1" applyFont="1" applyAlignment="1">
      <alignment horizontal="center" vertical="center"/>
    </xf>
    <xf numFmtId="0" fontId="24" fillId="0" borderId="152" xfId="12" applyFont="1" applyBorder="1" applyAlignment="1">
      <alignment horizontal="left" vertical="top"/>
    </xf>
    <xf numFmtId="0" fontId="24" fillId="0" borderId="71" xfId="12" applyFont="1" applyBorder="1" applyAlignment="1">
      <alignment horizontal="left" vertical="top"/>
    </xf>
    <xf numFmtId="0" fontId="24" fillId="0" borderId="114" xfId="12" applyFont="1" applyBorder="1" applyAlignment="1">
      <alignment horizontal="left" vertical="top"/>
    </xf>
    <xf numFmtId="0" fontId="24" fillId="0" borderId="72" xfId="12" applyFont="1" applyBorder="1" applyAlignment="1">
      <alignment horizontal="left" vertical="top"/>
    </xf>
    <xf numFmtId="0" fontId="5" fillId="13" borderId="63" xfId="12" applyFont="1" applyFill="1" applyBorder="1" applyAlignment="1">
      <alignment horizontal="center" vertical="center"/>
    </xf>
    <xf numFmtId="0" fontId="5" fillId="13" borderId="131" xfId="12" applyFont="1" applyFill="1" applyBorder="1" applyAlignment="1">
      <alignment horizontal="center" vertical="center"/>
    </xf>
    <xf numFmtId="0" fontId="5" fillId="13" borderId="132" xfId="12" applyFont="1" applyFill="1" applyBorder="1" applyAlignment="1">
      <alignment horizontal="center" vertical="center"/>
    </xf>
    <xf numFmtId="0" fontId="5" fillId="13" borderId="133" xfId="12" applyFont="1" applyFill="1" applyBorder="1" applyAlignment="1">
      <alignment horizontal="center" vertical="center"/>
    </xf>
    <xf numFmtId="0" fontId="5" fillId="13" borderId="134" xfId="12" applyFont="1" applyFill="1" applyBorder="1" applyAlignment="1">
      <alignment horizontal="center" vertical="center"/>
    </xf>
    <xf numFmtId="0" fontId="5" fillId="13" borderId="135" xfId="12" applyFont="1" applyFill="1" applyBorder="1" applyAlignment="1">
      <alignment horizontal="center" vertical="center"/>
    </xf>
    <xf numFmtId="0" fontId="24" fillId="0" borderId="69" xfId="6" applyFont="1" applyBorder="1" applyAlignment="1">
      <alignment horizontal="left" vertical="center"/>
    </xf>
    <xf numFmtId="0" fontId="24" fillId="0" borderId="70" xfId="6" applyFont="1" applyBorder="1" applyAlignment="1">
      <alignment horizontal="left" vertical="center"/>
    </xf>
    <xf numFmtId="0" fontId="3" fillId="0" borderId="73" xfId="6" applyFont="1" applyBorder="1" applyAlignment="1">
      <alignment horizontal="center" vertical="center" wrapText="1"/>
    </xf>
    <xf numFmtId="0" fontId="3" fillId="0" borderId="74" xfId="6" applyFont="1" applyBorder="1" applyAlignment="1">
      <alignment horizontal="center" vertical="center" wrapText="1"/>
    </xf>
    <xf numFmtId="0" fontId="3" fillId="0" borderId="75" xfId="6" applyFont="1" applyBorder="1" applyAlignment="1">
      <alignment horizontal="center" vertical="center" wrapText="1"/>
    </xf>
    <xf numFmtId="0" fontId="3" fillId="0" borderId="79" xfId="6" applyFont="1" applyBorder="1" applyAlignment="1">
      <alignment horizontal="center" vertical="center"/>
    </xf>
    <xf numFmtId="0" fontId="3" fillId="0" borderId="80" xfId="6" applyFont="1" applyBorder="1" applyAlignment="1">
      <alignment horizontal="center" vertical="center"/>
    </xf>
    <xf numFmtId="0" fontId="3" fillId="0" borderId="81" xfId="6" applyFont="1" applyBorder="1" applyAlignment="1">
      <alignment horizontal="center" vertical="center"/>
    </xf>
    <xf numFmtId="0" fontId="3" fillId="0" borderId="83" xfId="6" applyFont="1" applyBorder="1" applyAlignment="1">
      <alignment horizontal="center" vertical="center" wrapText="1"/>
    </xf>
    <xf numFmtId="0" fontId="3" fillId="0" borderId="84" xfId="6" applyFont="1" applyBorder="1" applyAlignment="1">
      <alignment horizontal="center" vertical="center" wrapText="1"/>
    </xf>
    <xf numFmtId="0" fontId="11" fillId="0" borderId="91" xfId="6" applyNumberFormat="1" applyFont="1" applyBorder="1" applyAlignment="1">
      <alignment horizontal="right" vertical="center" indent="1"/>
    </xf>
    <xf numFmtId="0" fontId="11" fillId="0" borderId="92" xfId="6" applyNumberFormat="1" applyFont="1" applyBorder="1" applyAlignment="1">
      <alignment horizontal="right" vertical="center" indent="1"/>
    </xf>
    <xf numFmtId="0" fontId="24" fillId="0" borderId="94" xfId="6" applyFont="1" applyBorder="1" applyAlignment="1">
      <alignment vertical="center"/>
    </xf>
    <xf numFmtId="0" fontId="24" fillId="0" borderId="95" xfId="6" applyFont="1" applyBorder="1" applyAlignment="1">
      <alignment vertical="center"/>
    </xf>
    <xf numFmtId="0" fontId="24" fillId="0" borderId="98" xfId="6" applyFont="1" applyBorder="1" applyAlignment="1">
      <alignment horizontal="left" vertical="center"/>
    </xf>
    <xf numFmtId="0" fontId="24" fillId="0" borderId="99" xfId="6" applyFont="1" applyBorder="1" applyAlignment="1">
      <alignment horizontal="left" vertical="center"/>
    </xf>
    <xf numFmtId="0" fontId="24" fillId="0" borderId="100" xfId="6" applyFont="1" applyBorder="1" applyAlignment="1">
      <alignment horizontal="left" vertical="center" indent="1"/>
    </xf>
    <xf numFmtId="0" fontId="24" fillId="0" borderId="101" xfId="6" applyFont="1" applyBorder="1" applyAlignment="1">
      <alignment horizontal="left" vertical="center" indent="1"/>
    </xf>
    <xf numFmtId="14" fontId="24" fillId="0" borderId="104" xfId="6" applyNumberFormat="1" applyFont="1" applyBorder="1" applyAlignment="1">
      <alignment horizontal="left" vertical="center" indent="1"/>
    </xf>
    <xf numFmtId="14" fontId="24" fillId="0" borderId="105" xfId="6" applyNumberFormat="1" applyFont="1" applyBorder="1" applyAlignment="1">
      <alignment horizontal="left" vertical="center" indent="1"/>
    </xf>
    <xf numFmtId="0" fontId="5" fillId="13" borderId="63" xfId="6" applyFont="1" applyFill="1" applyBorder="1" applyAlignment="1">
      <alignment horizontal="center" vertical="center"/>
    </xf>
    <xf numFmtId="0" fontId="5" fillId="13" borderId="64" xfId="6" applyFont="1" applyFill="1" applyBorder="1" applyAlignment="1">
      <alignment horizontal="center" vertical="center"/>
    </xf>
    <xf numFmtId="0" fontId="5" fillId="13" borderId="66" xfId="6" applyFont="1" applyFill="1" applyBorder="1" applyAlignment="1">
      <alignment horizontal="center" vertical="center"/>
    </xf>
    <xf numFmtId="0" fontId="5" fillId="13" borderId="67" xfId="6" applyFont="1" applyFill="1" applyBorder="1" applyAlignment="1">
      <alignment horizontal="center" vertical="center"/>
    </xf>
    <xf numFmtId="0" fontId="13" fillId="6" borderId="50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13" fillId="6" borderId="55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23" fillId="12" borderId="33" xfId="0" applyFont="1" applyFill="1" applyBorder="1" applyAlignment="1">
      <alignment horizontal="center" vertical="center"/>
    </xf>
    <xf numFmtId="0" fontId="23" fillId="12" borderId="34" xfId="0" applyFont="1" applyFill="1" applyBorder="1" applyAlignment="1">
      <alignment horizontal="center" vertical="center"/>
    </xf>
    <xf numFmtId="0" fontId="23" fillId="12" borderId="35" xfId="0" applyFont="1" applyFill="1" applyBorder="1" applyAlignment="1">
      <alignment horizontal="center" vertical="center"/>
    </xf>
    <xf numFmtId="0" fontId="13" fillId="6" borderId="48" xfId="0" applyFont="1" applyFill="1" applyBorder="1" applyAlignment="1">
      <alignment horizontal="left" vertical="center"/>
    </xf>
    <xf numFmtId="0" fontId="13" fillId="6" borderId="51" xfId="0" applyFont="1" applyFill="1" applyBorder="1" applyAlignment="1">
      <alignment horizontal="left" vertical="center"/>
    </xf>
    <xf numFmtId="0" fontId="13" fillId="6" borderId="53" xfId="0" applyFont="1" applyFill="1" applyBorder="1" applyAlignment="1">
      <alignment horizontal="left" vertical="center"/>
    </xf>
    <xf numFmtId="0" fontId="13" fillId="6" borderId="49" xfId="0" applyFont="1" applyFill="1" applyBorder="1" applyAlignment="1">
      <alignment horizontal="left" vertical="center"/>
    </xf>
    <xf numFmtId="0" fontId="13" fillId="6" borderId="52" xfId="0" applyFont="1" applyFill="1" applyBorder="1" applyAlignment="1">
      <alignment horizontal="left" vertical="center"/>
    </xf>
    <xf numFmtId="0" fontId="13" fillId="6" borderId="54" xfId="0" applyFont="1" applyFill="1" applyBorder="1" applyAlignment="1">
      <alignment horizontal="left" vertical="center"/>
    </xf>
    <xf numFmtId="0" fontId="13" fillId="6" borderId="56" xfId="0" applyFont="1" applyFill="1" applyBorder="1" applyAlignment="1">
      <alignment horizontal="center" vertical="center"/>
    </xf>
    <xf numFmtId="0" fontId="13" fillId="6" borderId="57" xfId="0" applyFont="1" applyFill="1" applyBorder="1" applyAlignment="1">
      <alignment horizontal="center" vertical="center"/>
    </xf>
    <xf numFmtId="0" fontId="0" fillId="0" borderId="6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62" xfId="0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6" xfId="0" applyFont="1" applyFill="1" applyBorder="1" applyAlignment="1">
      <alignment horizontal="center" vertical="center" wrapText="1"/>
    </xf>
    <xf numFmtId="0" fontId="16" fillId="6" borderId="37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>
      <alignment horizontal="center" vertical="center"/>
    </xf>
    <xf numFmtId="0" fontId="13" fillId="6" borderId="38" xfId="0" applyFont="1" applyFill="1" applyBorder="1" applyAlignment="1">
      <alignment horizontal="center" vertical="center"/>
    </xf>
    <xf numFmtId="0" fontId="8" fillId="2" borderId="30" xfId="8" applyFont="1" applyFill="1" applyBorder="1" applyAlignment="1">
      <alignment horizontal="center" vertical="center"/>
    </xf>
    <xf numFmtId="0" fontId="8" fillId="2" borderId="31" xfId="8" applyFont="1" applyFill="1" applyBorder="1" applyAlignment="1">
      <alignment horizontal="center" vertical="center"/>
    </xf>
    <xf numFmtId="0" fontId="8" fillId="2" borderId="32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0" xfId="8" applyFont="1" applyFill="1" applyBorder="1" applyAlignment="1">
      <alignment horizontal="center" vertical="center"/>
    </xf>
    <xf numFmtId="0" fontId="8" fillId="2" borderId="23" xfId="8" applyFont="1" applyFill="1" applyBorder="1" applyAlignment="1">
      <alignment horizontal="center" vertical="center"/>
    </xf>
    <xf numFmtId="0" fontId="6" fillId="2" borderId="8" xfId="8" applyFont="1" applyFill="1" applyBorder="1" applyAlignment="1">
      <alignment horizontal="center" vertical="center" wrapText="1"/>
    </xf>
    <xf numFmtId="0" fontId="6" fillId="2" borderId="5" xfId="8" applyFont="1" applyFill="1" applyBorder="1" applyAlignment="1">
      <alignment horizontal="center" vertical="center" wrapText="1"/>
    </xf>
    <xf numFmtId="0" fontId="6" fillId="2" borderId="24" xfId="8" applyFont="1" applyFill="1" applyBorder="1" applyAlignment="1">
      <alignment horizontal="center" vertical="center" wrapText="1"/>
    </xf>
    <xf numFmtId="0" fontId="7" fillId="2" borderId="34" xfId="8" applyFont="1" applyFill="1" applyBorder="1" applyAlignment="1">
      <alignment horizontal="left" vertical="center" wrapText="1"/>
    </xf>
    <xf numFmtId="0" fontId="7" fillId="2" borderId="35" xfId="8" applyFont="1" applyFill="1" applyBorder="1" applyAlignment="1">
      <alignment horizontal="left" vertical="center" wrapText="1"/>
    </xf>
    <xf numFmtId="49" fontId="9" fillId="5" borderId="30" xfId="10" applyNumberFormat="1" applyFont="1" applyFill="1" applyBorder="1" applyAlignment="1">
      <alignment horizontal="center" vertical="center"/>
    </xf>
    <xf numFmtId="49" fontId="9" fillId="5" borderId="31" xfId="10" applyNumberFormat="1" applyFont="1" applyFill="1" applyBorder="1" applyAlignment="1">
      <alignment horizontal="center" vertical="center"/>
    </xf>
    <xf numFmtId="49" fontId="9" fillId="5" borderId="32" xfId="10" applyNumberFormat="1" applyFont="1" applyFill="1" applyBorder="1" applyAlignment="1">
      <alignment horizontal="center" vertical="center"/>
    </xf>
    <xf numFmtId="49" fontId="11" fillId="5" borderId="1" xfId="10" applyNumberFormat="1" applyFont="1" applyFill="1" applyBorder="1" applyAlignment="1">
      <alignment horizontal="center" vertical="center" wrapText="1"/>
    </xf>
    <xf numFmtId="49" fontId="11" fillId="5" borderId="2" xfId="10" applyNumberFormat="1" applyFont="1" applyFill="1" applyBorder="1" applyAlignment="1">
      <alignment horizontal="center" vertical="center" wrapText="1"/>
    </xf>
    <xf numFmtId="49" fontId="11" fillId="5" borderId="22" xfId="10" applyNumberFormat="1" applyFont="1" applyFill="1" applyBorder="1" applyAlignment="1">
      <alignment horizontal="center" vertical="center" wrapText="1"/>
    </xf>
    <xf numFmtId="49" fontId="11" fillId="5" borderId="36" xfId="10" applyNumberFormat="1" applyFont="1" applyFill="1" applyBorder="1" applyAlignment="1">
      <alignment horizontal="center" vertical="center" wrapText="1"/>
    </xf>
    <xf numFmtId="49" fontId="11" fillId="5" borderId="37" xfId="10" applyNumberFormat="1" applyFont="1" applyFill="1" applyBorder="1" applyAlignment="1">
      <alignment horizontal="center" vertical="center" wrapText="1"/>
    </xf>
    <xf numFmtId="49" fontId="11" fillId="5" borderId="38" xfId="1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5" fillId="2" borderId="4" xfId="15" applyFont="1" applyFill="1" applyBorder="1" applyAlignment="1">
      <alignment horizontal="center" vertical="center"/>
    </xf>
    <xf numFmtId="0" fontId="5" fillId="2" borderId="5" xfId="15" applyFont="1" applyFill="1" applyBorder="1" applyAlignment="1">
      <alignment horizontal="center" vertical="center" wrapText="1"/>
    </xf>
    <xf numFmtId="0" fontId="5" fillId="2" borderId="5" xfId="15" applyFont="1" applyFill="1" applyBorder="1" applyAlignment="1">
      <alignment horizontal="center" vertical="center"/>
    </xf>
    <xf numFmtId="0" fontId="5" fillId="2" borderId="24" xfId="15" applyFont="1" applyFill="1" applyBorder="1" applyAlignment="1">
      <alignment horizontal="center" vertical="center"/>
    </xf>
    <xf numFmtId="0" fontId="6" fillId="2" borderId="8" xfId="15" applyFont="1" applyFill="1" applyBorder="1" applyAlignment="1">
      <alignment horizontal="center" vertical="center"/>
    </xf>
    <xf numFmtId="0" fontId="6" fillId="2" borderId="5" xfId="15" applyFont="1" applyFill="1" applyBorder="1" applyAlignment="1">
      <alignment horizontal="center" vertical="center"/>
    </xf>
    <xf numFmtId="0" fontId="6" fillId="2" borderId="24" xfId="15" applyFont="1" applyFill="1" applyBorder="1" applyAlignment="1">
      <alignment horizontal="center" vertical="center"/>
    </xf>
    <xf numFmtId="0" fontId="6" fillId="2" borderId="9" xfId="15" applyFont="1" applyFill="1" applyBorder="1" applyAlignment="1">
      <alignment horizontal="center" vertical="center" wrapText="1"/>
    </xf>
    <xf numFmtId="0" fontId="6" fillId="2" borderId="10" xfId="15" applyFont="1" applyFill="1" applyBorder="1" applyAlignment="1">
      <alignment horizontal="center" vertical="center" wrapText="1"/>
    </xf>
    <xf numFmtId="0" fontId="6" fillId="2" borderId="4" xfId="15" applyFont="1" applyFill="1" applyBorder="1" applyAlignment="1">
      <alignment horizontal="center" vertical="center"/>
    </xf>
    <xf numFmtId="0" fontId="6" fillId="2" borderId="5" xfId="15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/>
    </xf>
    <xf numFmtId="0" fontId="6" fillId="0" borderId="24" xfId="15" applyFont="1" applyFill="1" applyBorder="1" applyAlignment="1">
      <alignment horizontal="center" vertical="center"/>
    </xf>
    <xf numFmtId="0" fontId="6" fillId="2" borderId="20" xfId="15" applyFont="1" applyFill="1" applyBorder="1" applyAlignment="1">
      <alignment horizontal="center" vertical="center"/>
    </xf>
    <xf numFmtId="0" fontId="6" fillId="2" borderId="21" xfId="15" applyFont="1" applyFill="1" applyBorder="1" applyAlignment="1">
      <alignment horizontal="center" vertical="center" wrapText="1"/>
    </xf>
  </cellXfs>
  <cellStyles count="18">
    <cellStyle name="Moeda" xfId="3" builtinId="4"/>
    <cellStyle name="Moeda 2" xfId="7"/>
    <cellStyle name="Normal" xfId="0" builtinId="0"/>
    <cellStyle name="Normal 11" xfId="8"/>
    <cellStyle name="Normal 2" xfId="4"/>
    <cellStyle name="Normal 2 2" xfId="15"/>
    <cellStyle name="Normal 6" xfId="10"/>
    <cellStyle name="Normal_PP-2A" xfId="9"/>
    <cellStyle name="Normal_PP-II" xfId="11"/>
    <cellStyle name="Normal_PP-III" xfId="12"/>
    <cellStyle name="Normal_PP-V" xfId="13"/>
    <cellStyle name="Normal_PP-VI" xfId="5"/>
    <cellStyle name="Normal_PP-X" xfId="6"/>
    <cellStyle name="Porcentagem" xfId="2" builtinId="5"/>
    <cellStyle name="Porcentagem 2" xfId="17"/>
    <cellStyle name="Separador de milhares" xfId="1" builtinId="3"/>
    <cellStyle name="Título 1 1" xfId="14"/>
    <cellStyle name="Vírgula 6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47625</xdr:rowOff>
    </xdr:from>
    <xdr:to>
      <xdr:col>1</xdr:col>
      <xdr:colOff>610870</xdr:colOff>
      <xdr:row>2</xdr:row>
      <xdr:rowOff>95250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3350" y="47625"/>
          <a:ext cx="1191260" cy="4095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47625</xdr:rowOff>
    </xdr:from>
    <xdr:to>
      <xdr:col>1</xdr:col>
      <xdr:colOff>610870</xdr:colOff>
      <xdr:row>2</xdr:row>
      <xdr:rowOff>95250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3350" y="47625"/>
          <a:ext cx="1191260" cy="4095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243840</xdr:colOff>
      <xdr:row>2</xdr:row>
      <xdr:rowOff>129540</xdr:rowOff>
    </xdr:to>
    <xdr:pic>
      <xdr:nvPicPr>
        <xdr:cNvPr id="1160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0" y="0"/>
          <a:ext cx="2117090" cy="415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</xdr:colOff>
      <xdr:row>0</xdr:row>
      <xdr:rowOff>10160</xdr:rowOff>
    </xdr:from>
    <xdr:to>
      <xdr:col>3</xdr:col>
      <xdr:colOff>772160</xdr:colOff>
      <xdr:row>3</xdr:row>
      <xdr:rowOff>10160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635" y="10160"/>
          <a:ext cx="21621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77470</xdr:colOff>
      <xdr:row>0</xdr:row>
      <xdr:rowOff>29845</xdr:rowOff>
    </xdr:from>
    <xdr:to>
      <xdr:col>1</xdr:col>
      <xdr:colOff>1647190</xdr:colOff>
      <xdr:row>3</xdr:row>
      <xdr:rowOff>28575</xdr:rowOff>
    </xdr:to>
    <xdr:pic>
      <xdr:nvPicPr>
        <xdr:cNvPr id="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7470" y="29845"/>
          <a:ext cx="2155190" cy="427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1225550</xdr:colOff>
      <xdr:row>2</xdr:row>
      <xdr:rowOff>104775</xdr:rowOff>
    </xdr:to>
    <xdr:pic>
      <xdr:nvPicPr>
        <xdr:cNvPr id="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9525" y="9525"/>
          <a:ext cx="180149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r="http://schemas.openxmlformats.org/officeDocument/2006/relationships" xmlns="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64135</xdr:colOff>
      <xdr:row>0</xdr:row>
      <xdr:rowOff>47625</xdr:rowOff>
    </xdr:from>
    <xdr:to>
      <xdr:col>0</xdr:col>
      <xdr:colOff>1339215</xdr:colOff>
      <xdr:row>2</xdr:row>
      <xdr:rowOff>94615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135" y="47625"/>
          <a:ext cx="1275080" cy="38989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28</xdr:col>
      <xdr:colOff>64135</xdr:colOff>
      <xdr:row>0</xdr:row>
      <xdr:rowOff>47625</xdr:rowOff>
    </xdr:from>
    <xdr:to>
      <xdr:col>28</xdr:col>
      <xdr:colOff>1339215</xdr:colOff>
      <xdr:row>2</xdr:row>
      <xdr:rowOff>94615</xdr:rowOff>
    </xdr:to>
    <xdr:pic>
      <xdr:nvPicPr>
        <xdr:cNvPr id="3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015470" y="47625"/>
          <a:ext cx="1275080" cy="38989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64135</xdr:colOff>
      <xdr:row>0</xdr:row>
      <xdr:rowOff>47625</xdr:rowOff>
    </xdr:from>
    <xdr:to>
      <xdr:col>0</xdr:col>
      <xdr:colOff>1339215</xdr:colOff>
      <xdr:row>2</xdr:row>
      <xdr:rowOff>94615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135" y="47625"/>
          <a:ext cx="897890" cy="37084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64135</xdr:colOff>
      <xdr:row>1</xdr:row>
      <xdr:rowOff>47625</xdr:rowOff>
    </xdr:from>
    <xdr:to>
      <xdr:col>0</xdr:col>
      <xdr:colOff>1339215</xdr:colOff>
      <xdr:row>3</xdr:row>
      <xdr:rowOff>94615</xdr:rowOff>
    </xdr:to>
    <xdr:pic>
      <xdr:nvPicPr>
        <xdr:cNvPr id="4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135" y="219075"/>
          <a:ext cx="1275080" cy="37084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44"/>
  <sheetViews>
    <sheetView tabSelected="1" view="pageBreakPreview" zoomScale="80" zoomScaleNormal="50" workbookViewId="0">
      <selection activeCell="D23" sqref="D23"/>
    </sheetView>
  </sheetViews>
  <sheetFormatPr defaultColWidth="9.140625" defaultRowHeight="12.75"/>
  <cols>
    <col min="1" max="1" width="10.7109375" style="1" customWidth="1"/>
    <col min="2" max="2" width="11.42578125" style="87" customWidth="1"/>
    <col min="3" max="3" width="26.7109375" style="568" customWidth="1"/>
    <col min="4" max="4" width="38.5703125" style="569" customWidth="1"/>
    <col min="5" max="5" width="26" style="1" customWidth="1"/>
    <col min="6" max="6" width="17.85546875" style="1" customWidth="1"/>
    <col min="7" max="7" width="16.7109375" style="1" customWidth="1"/>
    <col min="8" max="8" width="17.5703125" style="570" customWidth="1"/>
    <col min="9" max="9" width="17.7109375" style="1" customWidth="1"/>
    <col min="10" max="10" width="5.140625" style="568" customWidth="1"/>
    <col min="11" max="11" width="14.140625" style="568"/>
    <col min="12" max="12" width="12.140625" style="1"/>
    <col min="13" max="16384" width="9.140625" style="1"/>
  </cols>
  <sheetData>
    <row r="1" spans="1:16" ht="14.25">
      <c r="A1" s="5"/>
      <c r="B1" s="88"/>
      <c r="C1" s="571" t="s">
        <v>0</v>
      </c>
      <c r="D1" s="88"/>
      <c r="E1" s="88"/>
      <c r="F1" s="572"/>
      <c r="G1" s="88"/>
      <c r="H1" s="573"/>
      <c r="I1" s="643"/>
    </row>
    <row r="2" spans="1:16" ht="14.25">
      <c r="A2" s="6"/>
      <c r="B2" s="90"/>
      <c r="C2" s="574" t="s">
        <v>1</v>
      </c>
      <c r="D2" s="574"/>
      <c r="E2" s="90"/>
      <c r="F2" s="575"/>
      <c r="G2" s="90"/>
      <c r="H2" s="576"/>
      <c r="I2" s="644"/>
    </row>
    <row r="3" spans="1:16" ht="14.25">
      <c r="A3" s="6"/>
      <c r="B3" s="90"/>
      <c r="C3" s="577" t="s">
        <v>2</v>
      </c>
      <c r="D3" s="90"/>
      <c r="E3" s="90"/>
      <c r="F3" s="575"/>
      <c r="G3" s="90"/>
      <c r="H3" s="576"/>
      <c r="I3" s="644"/>
    </row>
    <row r="4" spans="1:16" ht="35.1" customHeight="1">
      <c r="A4" s="708" t="str">
        <f>FSUP!A8</f>
        <v>SERVIÇOS TOPOGRÁFICOS E DE APOIO À FISCALIZAÇÃO E SUPERVISÃO TÉCNICA DE INSTRUMENTOS NA ÁREA DE ABRANGÊNCIA DA 2ª SR</v>
      </c>
      <c r="B4" s="709"/>
      <c r="C4" s="709"/>
      <c r="D4" s="709"/>
      <c r="E4" s="709"/>
      <c r="F4" s="710"/>
      <c r="G4" s="709"/>
      <c r="H4" s="711"/>
      <c r="I4" s="712"/>
      <c r="N4" s="327"/>
      <c r="O4" s="645"/>
      <c r="P4" s="329"/>
    </row>
    <row r="5" spans="1:16" ht="15">
      <c r="A5" s="713" t="s">
        <v>3</v>
      </c>
      <c r="B5" s="714"/>
      <c r="C5" s="715"/>
      <c r="D5" s="715"/>
      <c r="E5" s="715"/>
      <c r="F5" s="580"/>
      <c r="G5" s="581"/>
      <c r="H5" s="582"/>
      <c r="I5" s="644"/>
    </row>
    <row r="6" spans="1:16" ht="15">
      <c r="A6" s="583"/>
      <c r="B6" s="578"/>
      <c r="C6" s="578"/>
      <c r="D6" s="578"/>
      <c r="E6" s="578"/>
      <c r="F6" s="580"/>
      <c r="G6" s="581"/>
      <c r="H6" s="582"/>
      <c r="I6" s="644"/>
    </row>
    <row r="7" spans="1:16" ht="15">
      <c r="A7" s="583" t="s">
        <v>4</v>
      </c>
      <c r="B7" s="578"/>
      <c r="C7" s="579" t="s">
        <v>5</v>
      </c>
      <c r="D7" s="578"/>
      <c r="E7" s="578"/>
      <c r="F7" s="580"/>
      <c r="G7" s="716" t="s">
        <v>6</v>
      </c>
      <c r="H7" s="717"/>
      <c r="I7" s="646">
        <f>0.4496</f>
        <v>0.4496</v>
      </c>
    </row>
    <row r="8" spans="1:16" ht="18">
      <c r="A8" s="718" t="s">
        <v>7</v>
      </c>
      <c r="B8" s="719"/>
      <c r="C8" s="719"/>
      <c r="D8" s="719"/>
      <c r="E8" s="719"/>
      <c r="F8" s="720"/>
      <c r="G8" s="719"/>
      <c r="H8" s="721"/>
      <c r="I8" s="722"/>
    </row>
    <row r="9" spans="1:16" ht="15">
      <c r="A9" s="659"/>
      <c r="B9" s="659"/>
      <c r="C9" s="659"/>
      <c r="D9" s="660"/>
      <c r="E9" s="659"/>
      <c r="F9" s="659"/>
      <c r="G9" s="659"/>
      <c r="H9" s="661"/>
      <c r="I9" s="659"/>
    </row>
    <row r="10" spans="1:16" ht="15">
      <c r="A10" s="662"/>
      <c r="B10" s="662"/>
      <c r="C10" s="662"/>
      <c r="D10" s="663"/>
      <c r="E10" s="662"/>
      <c r="F10" s="662"/>
      <c r="G10" s="662"/>
      <c r="H10" s="664"/>
      <c r="I10" s="684"/>
    </row>
    <row r="11" spans="1:16" s="658" customFormat="1" ht="15">
      <c r="B11" s="665" t="s">
        <v>8</v>
      </c>
      <c r="C11" s="666" t="s">
        <v>9</v>
      </c>
      <c r="D11" s="667"/>
      <c r="E11" s="665" t="s">
        <v>10</v>
      </c>
      <c r="F11" s="668" t="s">
        <v>11</v>
      </c>
      <c r="G11" s="665" t="s">
        <v>12</v>
      </c>
      <c r="H11" s="669" t="s">
        <v>13</v>
      </c>
      <c r="L11" s="693"/>
    </row>
    <row r="12" spans="1:16" ht="15">
      <c r="B12" s="621">
        <v>1</v>
      </c>
      <c r="C12" s="723" t="s">
        <v>14</v>
      </c>
      <c r="D12" s="724"/>
      <c r="E12" s="670" t="s">
        <v>15</v>
      </c>
      <c r="F12" s="671">
        <v>12</v>
      </c>
      <c r="G12" s="672">
        <f>'Planilha MEDIÇÃO'!H44</f>
        <v>417404.9308333334</v>
      </c>
      <c r="H12" s="630">
        <f>F12*G12</f>
        <v>5008859.1700000009</v>
      </c>
      <c r="K12" s="694">
        <f>G12*0.5/100</f>
        <v>2087.024654166667</v>
      </c>
    </row>
    <row r="13" spans="1:16" ht="15">
      <c r="A13" s="673"/>
      <c r="B13" s="674"/>
      <c r="C13" s="674"/>
      <c r="D13" s="675"/>
      <c r="E13" s="675"/>
      <c r="F13" s="676"/>
      <c r="G13" s="677"/>
      <c r="H13" s="664"/>
      <c r="I13" s="684"/>
    </row>
    <row r="14" spans="1:16" ht="15">
      <c r="A14" s="673"/>
      <c r="B14" s="674"/>
      <c r="C14" s="674"/>
      <c r="D14" s="675"/>
      <c r="E14" s="675"/>
      <c r="F14" s="676"/>
      <c r="G14" s="677"/>
      <c r="H14" s="664"/>
      <c r="I14" s="684"/>
    </row>
    <row r="15" spans="1:16" ht="15">
      <c r="A15" s="673"/>
      <c r="B15" s="674"/>
      <c r="C15" s="674"/>
      <c r="D15" s="90"/>
      <c r="E15" s="675"/>
      <c r="F15" s="676"/>
      <c r="G15" s="677"/>
      <c r="H15" s="664"/>
      <c r="I15" s="684"/>
    </row>
    <row r="16" spans="1:16" ht="15">
      <c r="A16" s="673"/>
      <c r="B16" s="674"/>
      <c r="C16" s="674"/>
      <c r="D16" s="675"/>
      <c r="E16" s="675"/>
      <c r="F16" s="676"/>
      <c r="G16" s="677"/>
      <c r="H16" s="664"/>
      <c r="I16" s="684"/>
    </row>
    <row r="17" spans="1:12" ht="15">
      <c r="A17" s="673"/>
      <c r="B17" s="674"/>
      <c r="C17" s="674"/>
      <c r="D17" s="675"/>
      <c r="E17" s="675"/>
      <c r="F17" s="676"/>
      <c r="G17" s="677"/>
      <c r="H17" s="664"/>
      <c r="I17" s="684"/>
    </row>
    <row r="18" spans="1:12" ht="12.95" customHeight="1">
      <c r="A18" s="673"/>
      <c r="B18" s="678"/>
      <c r="C18" s="674"/>
      <c r="D18" s="675"/>
      <c r="E18" s="675"/>
      <c r="F18" s="676"/>
      <c r="G18" s="679"/>
      <c r="H18" s="664"/>
      <c r="I18" s="684"/>
    </row>
    <row r="19" spans="1:12" ht="15">
      <c r="A19" s="673"/>
      <c r="B19" s="674"/>
      <c r="C19" s="674"/>
      <c r="D19" s="675"/>
      <c r="E19" s="675"/>
      <c r="F19" s="676"/>
      <c r="G19" s="679"/>
      <c r="H19" s="664"/>
      <c r="I19" s="684"/>
    </row>
    <row r="20" spans="1:12" ht="15">
      <c r="A20" s="673"/>
      <c r="B20" s="674"/>
      <c r="C20" s="674"/>
      <c r="D20" s="675"/>
      <c r="E20" s="675"/>
      <c r="F20" s="676"/>
      <c r="G20" s="679"/>
      <c r="H20" s="664"/>
      <c r="I20" s="684"/>
    </row>
    <row r="21" spans="1:12" ht="15">
      <c r="A21" s="673"/>
      <c r="B21" s="674"/>
      <c r="C21" s="674"/>
      <c r="D21" s="675"/>
      <c r="E21" s="675"/>
      <c r="F21" s="676"/>
      <c r="G21" s="679"/>
      <c r="H21" s="664"/>
      <c r="I21" s="684"/>
    </row>
    <row r="22" spans="1:12" ht="15">
      <c r="A22" s="673"/>
      <c r="B22" s="674"/>
      <c r="C22" s="674"/>
      <c r="D22" s="675"/>
      <c r="E22" s="673"/>
      <c r="F22" s="676"/>
      <c r="G22" s="679"/>
      <c r="H22" s="664"/>
      <c r="I22" s="684"/>
    </row>
    <row r="23" spans="1:12" ht="15">
      <c r="A23" s="662"/>
      <c r="B23" s="662"/>
      <c r="C23" s="662"/>
      <c r="D23" s="663"/>
      <c r="E23" s="673"/>
      <c r="F23" s="676"/>
      <c r="G23" s="662"/>
      <c r="H23" s="664"/>
      <c r="I23" s="695"/>
      <c r="L23" s="650"/>
    </row>
    <row r="24" spans="1:12" ht="30" customHeight="1">
      <c r="A24" s="673"/>
      <c r="B24" s="673"/>
      <c r="C24" s="673"/>
      <c r="D24" s="680"/>
      <c r="E24" s="673"/>
      <c r="F24" s="676"/>
      <c r="G24" s="681"/>
      <c r="H24" s="664"/>
      <c r="I24" s="682"/>
      <c r="J24" s="655"/>
    </row>
    <row r="25" spans="1:12" ht="15">
      <c r="A25" s="673"/>
      <c r="B25" s="673"/>
      <c r="C25" s="673"/>
      <c r="D25" s="680"/>
      <c r="E25" s="673"/>
      <c r="F25" s="676"/>
      <c r="G25" s="681"/>
      <c r="H25" s="682"/>
      <c r="I25" s="682"/>
    </row>
    <row r="26" spans="1:12" ht="15">
      <c r="A26" s="662"/>
      <c r="B26" s="662"/>
      <c r="C26" s="662"/>
      <c r="D26" s="663"/>
      <c r="E26" s="673"/>
      <c r="F26" s="676"/>
      <c r="G26" s="662"/>
      <c r="H26" s="664"/>
      <c r="I26" s="684"/>
    </row>
    <row r="27" spans="1:12" ht="15">
      <c r="A27" s="662"/>
      <c r="B27" s="662"/>
      <c r="C27" s="662"/>
      <c r="D27" s="663"/>
      <c r="E27" s="673"/>
      <c r="F27" s="676"/>
      <c r="G27" s="662"/>
      <c r="H27" s="664"/>
      <c r="I27" s="684"/>
      <c r="L27" s="657"/>
    </row>
    <row r="28" spans="1:12" ht="15">
      <c r="A28" s="673"/>
      <c r="B28" s="673"/>
      <c r="C28" s="674"/>
      <c r="D28" s="683"/>
      <c r="E28" s="675"/>
      <c r="F28" s="676"/>
      <c r="G28" s="684"/>
      <c r="H28" s="664"/>
      <c r="I28" s="684"/>
    </row>
    <row r="29" spans="1:12" ht="59.1" customHeight="1">
      <c r="A29" s="673"/>
      <c r="B29" s="673"/>
      <c r="C29" s="633"/>
      <c r="D29" s="683"/>
      <c r="E29" s="675"/>
      <c r="F29" s="676"/>
      <c r="G29" s="684"/>
      <c r="H29" s="664"/>
      <c r="I29" s="684"/>
    </row>
    <row r="30" spans="1:12" ht="15">
      <c r="A30" s="673"/>
      <c r="B30" s="673"/>
      <c r="C30" s="674"/>
      <c r="D30" s="685"/>
      <c r="E30" s="675"/>
      <c r="F30" s="676"/>
      <c r="G30" s="684"/>
      <c r="H30" s="664"/>
      <c r="I30" s="684"/>
    </row>
    <row r="31" spans="1:12" ht="47.1" customHeight="1">
      <c r="A31" s="673"/>
      <c r="B31" s="673"/>
      <c r="C31" s="633"/>
      <c r="D31" s="683"/>
      <c r="E31" s="675"/>
      <c r="F31" s="676"/>
      <c r="G31" s="684"/>
      <c r="H31" s="664"/>
      <c r="I31" s="684"/>
    </row>
    <row r="32" spans="1:12" ht="15">
      <c r="A32" s="673"/>
      <c r="B32" s="673"/>
      <c r="C32" s="674"/>
      <c r="D32" s="685"/>
      <c r="E32" s="675"/>
      <c r="F32" s="676"/>
      <c r="G32" s="684"/>
      <c r="H32" s="664"/>
      <c r="I32" s="684"/>
    </row>
    <row r="33" spans="1:12" ht="15">
      <c r="A33" s="673"/>
      <c r="B33" s="673"/>
      <c r="C33" s="633"/>
      <c r="D33" s="683"/>
      <c r="E33" s="675"/>
      <c r="F33" s="676"/>
      <c r="G33" s="684"/>
      <c r="H33" s="664"/>
      <c r="I33" s="684"/>
    </row>
    <row r="34" spans="1:12" ht="15">
      <c r="A34" s="673"/>
      <c r="B34" s="673"/>
      <c r="C34" s="633"/>
      <c r="D34" s="634"/>
      <c r="E34" s="675"/>
      <c r="F34" s="676"/>
      <c r="G34" s="636"/>
      <c r="H34" s="664"/>
      <c r="I34" s="684"/>
    </row>
    <row r="35" spans="1:12" ht="15">
      <c r="A35" s="662"/>
      <c r="B35" s="662"/>
      <c r="C35" s="662"/>
      <c r="D35" s="663"/>
      <c r="E35" s="662"/>
      <c r="F35" s="686"/>
      <c r="G35" s="662"/>
      <c r="H35" s="664"/>
      <c r="I35" s="684"/>
      <c r="L35" s="657"/>
    </row>
    <row r="36" spans="1:12" ht="15">
      <c r="A36" s="673"/>
      <c r="B36" s="687"/>
      <c r="C36" s="633"/>
      <c r="D36" s="688"/>
      <c r="E36" s="675"/>
      <c r="F36" s="676"/>
      <c r="G36" s="689"/>
      <c r="H36" s="664"/>
      <c r="I36" s="684"/>
    </row>
    <row r="37" spans="1:12" ht="15">
      <c r="A37" s="673"/>
      <c r="B37" s="687"/>
      <c r="C37" s="633"/>
      <c r="D37" s="688"/>
      <c r="E37" s="675"/>
      <c r="F37" s="676"/>
      <c r="G37" s="689"/>
      <c r="H37" s="664"/>
      <c r="I37" s="684"/>
      <c r="J37" s="655"/>
    </row>
    <row r="38" spans="1:12" ht="15">
      <c r="A38" s="673"/>
      <c r="B38" s="687"/>
      <c r="C38" s="633"/>
      <c r="D38" s="688"/>
      <c r="E38" s="675"/>
      <c r="F38" s="676"/>
      <c r="G38" s="689"/>
      <c r="H38" s="664"/>
      <c r="I38" s="684"/>
      <c r="J38" s="655"/>
    </row>
    <row r="39" spans="1:12" ht="15">
      <c r="A39" s="673"/>
      <c r="B39" s="687"/>
      <c r="C39" s="633"/>
      <c r="D39" s="688"/>
      <c r="E39" s="675"/>
      <c r="F39" s="676"/>
      <c r="G39" s="689"/>
      <c r="H39" s="664"/>
      <c r="I39" s="684"/>
    </row>
    <row r="40" spans="1:12" ht="15">
      <c r="A40" s="673"/>
      <c r="B40" s="687"/>
      <c r="C40" s="633"/>
      <c r="D40" s="688"/>
      <c r="E40" s="675"/>
      <c r="F40" s="676"/>
      <c r="G40" s="689"/>
      <c r="H40" s="664"/>
      <c r="I40" s="684"/>
    </row>
    <row r="41" spans="1:12" ht="15">
      <c r="A41" s="659"/>
      <c r="B41" s="659"/>
      <c r="C41" s="659"/>
      <c r="D41" s="90"/>
      <c r="E41" s="659"/>
      <c r="F41" s="659"/>
      <c r="G41" s="659"/>
      <c r="H41" s="690"/>
      <c r="I41" s="690"/>
    </row>
    <row r="42" spans="1:12" ht="15">
      <c r="A42" s="659"/>
      <c r="B42" s="659"/>
      <c r="C42" s="659"/>
      <c r="D42" s="90"/>
      <c r="E42" s="659"/>
      <c r="F42" s="659"/>
      <c r="G42" s="659"/>
      <c r="H42" s="690"/>
      <c r="I42" s="690"/>
    </row>
    <row r="43" spans="1:12" ht="36.950000000000003" customHeight="1">
      <c r="A43" s="691"/>
      <c r="B43" s="691"/>
      <c r="C43" s="691"/>
      <c r="D43" s="691"/>
      <c r="E43" s="691"/>
      <c r="F43" s="691"/>
      <c r="G43" s="691"/>
      <c r="H43" s="692"/>
      <c r="I43" s="692"/>
    </row>
    <row r="44" spans="1:12" ht="18">
      <c r="A44" s="691"/>
      <c r="B44" s="691"/>
      <c r="C44" s="691"/>
      <c r="D44" s="691"/>
      <c r="E44" s="691"/>
      <c r="F44" s="691"/>
      <c r="G44" s="691"/>
      <c r="H44" s="692"/>
      <c r="I44" s="692"/>
    </row>
  </sheetData>
  <mergeCells count="5">
    <mergeCell ref="A4:I4"/>
    <mergeCell ref="A5:E5"/>
    <mergeCell ref="G7:H7"/>
    <mergeCell ref="A8:I8"/>
    <mergeCell ref="C12:D12"/>
  </mergeCells>
  <pageMargins left="0.75" right="0.75" top="1" bottom="1" header="0.5" footer="0.5"/>
  <pageSetup paperSize="9" scale="50" orientation="landscape" r:id="rId1"/>
  <rowBreaks count="1" manualBreakCount="1">
    <brk id="44" max="16383" man="1"/>
  </rowBreaks>
  <colBreaks count="1" manualBreakCount="1">
    <brk id="9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/>
  </sheetPr>
  <dimension ref="A1:I43"/>
  <sheetViews>
    <sheetView view="pageBreakPreview" zoomScale="80" workbookViewId="0">
      <pane ySplit="9" topLeftCell="A19" activePane="bottomLeft" state="frozen"/>
      <selection pane="bottomLeft" activeCell="A20" sqref="A20:I20"/>
    </sheetView>
  </sheetViews>
  <sheetFormatPr defaultColWidth="9.140625" defaultRowHeight="12.75"/>
  <cols>
    <col min="1" max="1" width="20.42578125" style="1" customWidth="1"/>
    <col min="2" max="2" width="40.28515625" style="2" customWidth="1"/>
    <col min="3" max="3" width="19.28515625" style="1" customWidth="1"/>
    <col min="4" max="6" width="15" style="1" customWidth="1"/>
    <col min="7" max="9" width="18.140625" style="1" customWidth="1"/>
  </cols>
  <sheetData>
    <row r="1" spans="1:9" s="1" customFormat="1">
      <c r="A1" s="3"/>
      <c r="B1" s="4"/>
      <c r="C1" s="3"/>
      <c r="D1" s="3"/>
      <c r="E1" s="3"/>
      <c r="F1" s="3"/>
      <c r="G1" s="3"/>
      <c r="H1" s="3"/>
      <c r="I1" s="3"/>
    </row>
    <row r="2" spans="1:9" s="1" customFormat="1">
      <c r="A2" s="5"/>
      <c r="B2" s="935" t="s">
        <v>0</v>
      </c>
      <c r="C2" s="935"/>
      <c r="D2" s="935"/>
      <c r="E2" s="935"/>
      <c r="F2" s="935"/>
      <c r="G2" s="935"/>
      <c r="H2" s="935"/>
      <c r="I2" s="936"/>
    </row>
    <row r="3" spans="1:9" s="1" customFormat="1">
      <c r="A3" s="6"/>
      <c r="B3" s="937" t="s">
        <v>1</v>
      </c>
      <c r="C3" s="937"/>
      <c r="D3" s="937"/>
      <c r="E3" s="937"/>
      <c r="F3" s="937"/>
      <c r="G3" s="937"/>
      <c r="H3" s="937"/>
      <c r="I3" s="938"/>
    </row>
    <row r="4" spans="1:9" s="1" customFormat="1">
      <c r="A4" s="6"/>
      <c r="B4" s="939" t="s">
        <v>2</v>
      </c>
      <c r="C4" s="939"/>
      <c r="D4" s="939"/>
      <c r="E4" s="939"/>
      <c r="F4" s="939"/>
      <c r="G4" s="939"/>
      <c r="H4" s="939"/>
      <c r="I4" s="940"/>
    </row>
    <row r="5" spans="1:9" s="1" customFormat="1" ht="14.25">
      <c r="A5" s="7"/>
      <c r="B5" s="8"/>
      <c r="C5" s="9"/>
      <c r="D5" s="9"/>
      <c r="E5" s="9"/>
      <c r="F5" s="9"/>
      <c r="G5" s="9"/>
      <c r="H5" s="9"/>
      <c r="I5" s="34"/>
    </row>
    <row r="6" spans="1:9" s="1" customFormat="1" ht="18">
      <c r="A6" s="941" t="s">
        <v>394</v>
      </c>
      <c r="B6" s="942"/>
      <c r="C6" s="943"/>
      <c r="D6" s="943"/>
      <c r="E6" s="943"/>
      <c r="F6" s="943"/>
      <c r="G6" s="943"/>
      <c r="H6" s="943"/>
      <c r="I6" s="944"/>
    </row>
    <row r="7" spans="1:9" s="1" customFormat="1" ht="15.75">
      <c r="A7" s="10"/>
      <c r="B7" s="11"/>
      <c r="C7" s="12"/>
      <c r="D7" s="12"/>
      <c r="E7" s="12"/>
      <c r="F7" s="12"/>
      <c r="G7" s="12"/>
      <c r="H7" s="12"/>
      <c r="I7" s="35"/>
    </row>
    <row r="8" spans="1:9" s="1" customFormat="1" ht="15.75">
      <c r="A8" s="13"/>
      <c r="B8" s="14"/>
      <c r="C8" s="945" t="s">
        <v>395</v>
      </c>
      <c r="D8" s="946"/>
      <c r="E8" s="946"/>
      <c r="F8" s="946"/>
      <c r="G8" s="946"/>
      <c r="H8" s="946"/>
      <c r="I8" s="947"/>
    </row>
    <row r="9" spans="1:9" s="2" customFormat="1" ht="47.25">
      <c r="A9" s="948"/>
      <c r="B9" s="949"/>
      <c r="C9" s="15" t="s">
        <v>396</v>
      </c>
      <c r="D9" s="15" t="s">
        <v>397</v>
      </c>
      <c r="E9" s="15" t="s">
        <v>398</v>
      </c>
      <c r="F9" s="15" t="s">
        <v>399</v>
      </c>
      <c r="G9" s="15" t="s">
        <v>400</v>
      </c>
      <c r="H9" s="15" t="s">
        <v>401</v>
      </c>
      <c r="I9" s="36" t="s">
        <v>402</v>
      </c>
    </row>
    <row r="10" spans="1:9" s="1" customFormat="1" ht="15.75">
      <c r="A10" s="950" t="s">
        <v>403</v>
      </c>
      <c r="B10" s="951"/>
      <c r="C10" s="946"/>
      <c r="D10" s="946"/>
      <c r="E10" s="946"/>
      <c r="F10" s="946"/>
      <c r="G10" s="946"/>
      <c r="H10" s="946"/>
      <c r="I10" s="947"/>
    </row>
    <row r="11" spans="1:9" s="1" customFormat="1" ht="15">
      <c r="A11" s="16" t="s">
        <v>404</v>
      </c>
      <c r="B11" s="17" t="s">
        <v>405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37">
        <v>20</v>
      </c>
    </row>
    <row r="12" spans="1:9" s="1" customFormat="1" ht="15">
      <c r="A12" s="19" t="s">
        <v>406</v>
      </c>
      <c r="B12" s="20" t="s">
        <v>407</v>
      </c>
      <c r="C12" s="21">
        <v>8</v>
      </c>
      <c r="D12" s="21">
        <v>8</v>
      </c>
      <c r="E12" s="21">
        <v>8</v>
      </c>
      <c r="F12" s="21">
        <v>8</v>
      </c>
      <c r="G12" s="21">
        <v>8</v>
      </c>
      <c r="H12" s="21">
        <v>8</v>
      </c>
      <c r="I12" s="38">
        <v>8</v>
      </c>
    </row>
    <row r="13" spans="1:9" s="1" customFormat="1" ht="15">
      <c r="A13" s="19" t="s">
        <v>408</v>
      </c>
      <c r="B13" s="20" t="s">
        <v>409</v>
      </c>
      <c r="C13" s="21">
        <v>2.5</v>
      </c>
      <c r="D13" s="21">
        <v>2.5</v>
      </c>
      <c r="E13" s="21">
        <v>2.5</v>
      </c>
      <c r="F13" s="21">
        <v>2.5</v>
      </c>
      <c r="G13" s="21">
        <v>2.5</v>
      </c>
      <c r="H13" s="21">
        <v>2.5</v>
      </c>
      <c r="I13" s="38">
        <v>2.5</v>
      </c>
    </row>
    <row r="14" spans="1:9" s="1" customFormat="1" ht="15">
      <c r="A14" s="19" t="s">
        <v>410</v>
      </c>
      <c r="B14" s="20" t="s">
        <v>411</v>
      </c>
      <c r="C14" s="21">
        <v>1.5</v>
      </c>
      <c r="D14" s="21">
        <v>1.5</v>
      </c>
      <c r="E14" s="21">
        <v>1.5</v>
      </c>
      <c r="F14" s="21">
        <v>1.5</v>
      </c>
      <c r="G14" s="21">
        <v>1.5</v>
      </c>
      <c r="H14" s="21">
        <v>1.5</v>
      </c>
      <c r="I14" s="38">
        <v>1.5</v>
      </c>
    </row>
    <row r="15" spans="1:9" s="1" customFormat="1" ht="15">
      <c r="A15" s="19" t="s">
        <v>412</v>
      </c>
      <c r="B15" s="20" t="s">
        <v>413</v>
      </c>
      <c r="C15" s="21">
        <v>1.6</v>
      </c>
      <c r="D15" s="21">
        <v>1.6</v>
      </c>
      <c r="E15" s="21">
        <v>1.6</v>
      </c>
      <c r="F15" s="21">
        <v>1.6</v>
      </c>
      <c r="G15" s="21">
        <v>1.6</v>
      </c>
      <c r="H15" s="21">
        <v>1.6</v>
      </c>
      <c r="I15" s="38">
        <v>1.6</v>
      </c>
    </row>
    <row r="16" spans="1:9" s="1" customFormat="1" ht="15">
      <c r="A16" s="19" t="s">
        <v>414</v>
      </c>
      <c r="B16" s="20" t="s">
        <v>415</v>
      </c>
      <c r="C16" s="21">
        <v>0.2</v>
      </c>
      <c r="D16" s="21">
        <v>0.2</v>
      </c>
      <c r="E16" s="21">
        <v>0.2</v>
      </c>
      <c r="F16" s="21">
        <v>0.2</v>
      </c>
      <c r="G16" s="21">
        <v>0.2</v>
      </c>
      <c r="H16" s="21">
        <v>0.2</v>
      </c>
      <c r="I16" s="38">
        <v>0.2</v>
      </c>
    </row>
    <row r="17" spans="1:9" s="1" customFormat="1" ht="30">
      <c r="A17" s="19" t="s">
        <v>416</v>
      </c>
      <c r="B17" s="20" t="s">
        <v>417</v>
      </c>
      <c r="C17" s="21">
        <v>3</v>
      </c>
      <c r="D17" s="21">
        <v>3</v>
      </c>
      <c r="E17" s="21">
        <v>3</v>
      </c>
      <c r="F17" s="21">
        <v>3</v>
      </c>
      <c r="G17" s="21">
        <v>3</v>
      </c>
      <c r="H17" s="21">
        <v>3</v>
      </c>
      <c r="I17" s="38">
        <v>3</v>
      </c>
    </row>
    <row r="18" spans="1:9" s="1" customFormat="1" ht="15">
      <c r="A18" s="19" t="s">
        <v>418</v>
      </c>
      <c r="B18" s="20" t="s">
        <v>419</v>
      </c>
      <c r="C18" s="21" t="s">
        <v>420</v>
      </c>
      <c r="D18" s="21">
        <v>0.11</v>
      </c>
      <c r="E18" s="21">
        <v>0.11</v>
      </c>
      <c r="F18" s="21">
        <v>0.11</v>
      </c>
      <c r="G18" s="21">
        <v>0.11</v>
      </c>
      <c r="H18" s="21">
        <v>0.11</v>
      </c>
      <c r="I18" s="38">
        <v>0.11</v>
      </c>
    </row>
    <row r="19" spans="1:9" s="1" customFormat="1" ht="15.75">
      <c r="A19" s="22" t="s">
        <v>421</v>
      </c>
      <c r="B19" s="23" t="s">
        <v>26</v>
      </c>
      <c r="C19" s="24">
        <f t="shared" ref="C19:I19" si="0">ROUND(SUM(C11:C18),2)</f>
        <v>36.799999999999997</v>
      </c>
      <c r="D19" s="24">
        <f t="shared" si="0"/>
        <v>36.909999999999997</v>
      </c>
      <c r="E19" s="24">
        <f t="shared" si="0"/>
        <v>36.909999999999997</v>
      </c>
      <c r="F19" s="24">
        <f t="shared" si="0"/>
        <v>36.909999999999997</v>
      </c>
      <c r="G19" s="24">
        <f t="shared" si="0"/>
        <v>36.909999999999997</v>
      </c>
      <c r="H19" s="24">
        <f t="shared" si="0"/>
        <v>36.909999999999997</v>
      </c>
      <c r="I19" s="39">
        <f t="shared" si="0"/>
        <v>36.909999999999997</v>
      </c>
    </row>
    <row r="20" spans="1:9" s="1" customFormat="1" ht="15.75">
      <c r="A20" s="950" t="s">
        <v>422</v>
      </c>
      <c r="B20" s="951"/>
      <c r="C20" s="952"/>
      <c r="D20" s="952"/>
      <c r="E20" s="952"/>
      <c r="F20" s="952"/>
      <c r="G20" s="952"/>
      <c r="H20" s="952"/>
      <c r="I20" s="953"/>
    </row>
    <row r="21" spans="1:9" s="1" customFormat="1" ht="15">
      <c r="A21" s="16" t="s">
        <v>423</v>
      </c>
      <c r="B21" s="17" t="s">
        <v>424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37">
        <v>0</v>
      </c>
    </row>
    <row r="22" spans="1:9" s="1" customFormat="1" ht="15">
      <c r="A22" s="19" t="s">
        <v>425</v>
      </c>
      <c r="B22" s="20" t="s">
        <v>426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38">
        <v>0</v>
      </c>
    </row>
    <row r="23" spans="1:9" s="1" customFormat="1" ht="15">
      <c r="A23" s="19" t="s">
        <v>427</v>
      </c>
      <c r="B23" s="20" t="s">
        <v>428</v>
      </c>
      <c r="C23" s="21">
        <v>5.87</v>
      </c>
      <c r="D23" s="21">
        <v>5.7</v>
      </c>
      <c r="E23" s="21">
        <v>8.33</v>
      </c>
      <c r="F23" s="21">
        <v>8.33</v>
      </c>
      <c r="G23" s="21">
        <v>7.07</v>
      </c>
      <c r="H23" s="21">
        <v>5.7</v>
      </c>
      <c r="I23" s="38">
        <v>7.2</v>
      </c>
    </row>
    <row r="24" spans="1:9" s="1" customFormat="1" ht="15">
      <c r="A24" s="19" t="s">
        <v>429</v>
      </c>
      <c r="B24" s="20" t="s">
        <v>430</v>
      </c>
      <c r="C24" s="21">
        <v>0.9</v>
      </c>
      <c r="D24" s="21">
        <v>0.91</v>
      </c>
      <c r="E24" s="21">
        <v>0.91</v>
      </c>
      <c r="F24" s="21">
        <v>0.91</v>
      </c>
      <c r="G24" s="21">
        <v>0.91</v>
      </c>
      <c r="H24" s="21">
        <v>0.91</v>
      </c>
      <c r="I24" s="38">
        <v>0.91</v>
      </c>
    </row>
    <row r="25" spans="1:9" s="1" customFormat="1" ht="15">
      <c r="A25" s="19" t="s">
        <v>431</v>
      </c>
      <c r="B25" s="20" t="s">
        <v>432</v>
      </c>
      <c r="C25" s="21">
        <v>0.04</v>
      </c>
      <c r="D25" s="21">
        <v>0.04</v>
      </c>
      <c r="E25" s="21">
        <v>0.01</v>
      </c>
      <c r="F25" s="21">
        <v>0.04</v>
      </c>
      <c r="G25" s="21">
        <v>0.04</v>
      </c>
      <c r="H25" s="21">
        <v>0.04</v>
      </c>
      <c r="I25" s="38">
        <v>0.04</v>
      </c>
    </row>
    <row r="26" spans="1:9" s="1" customFormat="1" ht="15">
      <c r="A26" s="19" t="s">
        <v>433</v>
      </c>
      <c r="B26" s="20" t="s">
        <v>434</v>
      </c>
      <c r="C26" s="21">
        <v>0.06</v>
      </c>
      <c r="D26" s="21">
        <v>0.1</v>
      </c>
      <c r="E26" s="21">
        <v>0.08</v>
      </c>
      <c r="F26" s="21">
        <v>0.08</v>
      </c>
      <c r="G26" s="21">
        <v>0.08</v>
      </c>
      <c r="H26" s="21">
        <v>0.1</v>
      </c>
      <c r="I26" s="38">
        <v>0.09</v>
      </c>
    </row>
    <row r="27" spans="1:9" s="1" customFormat="1" ht="15">
      <c r="A27" s="19" t="s">
        <v>435</v>
      </c>
      <c r="B27" s="20" t="s">
        <v>436</v>
      </c>
      <c r="C27" s="21">
        <v>9.25</v>
      </c>
      <c r="D27" s="21">
        <v>9.24</v>
      </c>
      <c r="E27" s="21">
        <v>9.24</v>
      </c>
      <c r="F27" s="21">
        <v>9.24</v>
      </c>
      <c r="G27" s="21">
        <v>9.24</v>
      </c>
      <c r="H27" s="21">
        <v>9.24</v>
      </c>
      <c r="I27" s="38">
        <v>9.24</v>
      </c>
    </row>
    <row r="28" spans="1:9" s="1" customFormat="1" ht="15">
      <c r="A28" s="19" t="s">
        <v>437</v>
      </c>
      <c r="B28" s="20" t="s">
        <v>438</v>
      </c>
      <c r="C28" s="21">
        <v>0.74</v>
      </c>
      <c r="D28" s="21">
        <v>0.74</v>
      </c>
      <c r="E28" s="21">
        <v>0.74</v>
      </c>
      <c r="F28" s="21">
        <v>0.74</v>
      </c>
      <c r="G28" s="21">
        <v>0.74</v>
      </c>
      <c r="H28" s="21">
        <v>0.74</v>
      </c>
      <c r="I28" s="38">
        <v>0.74</v>
      </c>
    </row>
    <row r="29" spans="1:9" s="1" customFormat="1" ht="15">
      <c r="A29" s="25" t="s">
        <v>439</v>
      </c>
      <c r="B29" s="26" t="s">
        <v>440</v>
      </c>
      <c r="C29" s="21">
        <v>0.12</v>
      </c>
      <c r="D29" s="21">
        <v>0</v>
      </c>
      <c r="E29" s="21">
        <v>0.04</v>
      </c>
      <c r="F29" s="21">
        <v>0.04</v>
      </c>
      <c r="G29" s="21">
        <v>7.0000000000000007E-2</v>
      </c>
      <c r="H29" s="21">
        <v>0</v>
      </c>
      <c r="I29" s="38">
        <v>0</v>
      </c>
    </row>
    <row r="30" spans="1:9" s="1" customFormat="1" ht="15.75">
      <c r="A30" s="22" t="s">
        <v>441</v>
      </c>
      <c r="B30" s="23" t="s">
        <v>442</v>
      </c>
      <c r="C30" s="24">
        <f t="shared" ref="C30:I30" si="1">ROUND(SUM(C21:C29),2)</f>
        <v>16.98</v>
      </c>
      <c r="D30" s="24">
        <f t="shared" si="1"/>
        <v>16.73</v>
      </c>
      <c r="E30" s="24">
        <f t="shared" si="1"/>
        <v>19.350000000000001</v>
      </c>
      <c r="F30" s="24">
        <f t="shared" si="1"/>
        <v>19.38</v>
      </c>
      <c r="G30" s="24">
        <f t="shared" si="1"/>
        <v>18.149999999999999</v>
      </c>
      <c r="H30" s="24">
        <f t="shared" si="1"/>
        <v>16.73</v>
      </c>
      <c r="I30" s="39">
        <f t="shared" si="1"/>
        <v>18.22</v>
      </c>
    </row>
    <row r="31" spans="1:9" s="1" customFormat="1" ht="15.75">
      <c r="A31" s="950" t="s">
        <v>443</v>
      </c>
      <c r="B31" s="951"/>
      <c r="C31" s="952"/>
      <c r="D31" s="952"/>
      <c r="E31" s="952"/>
      <c r="F31" s="952"/>
      <c r="G31" s="952"/>
      <c r="H31" s="952"/>
      <c r="I31" s="953"/>
    </row>
    <row r="32" spans="1:9" s="1" customFormat="1" ht="15">
      <c r="A32" s="16" t="s">
        <v>444</v>
      </c>
      <c r="B32" s="17" t="s">
        <v>445</v>
      </c>
      <c r="C32" s="18">
        <v>4.32</v>
      </c>
      <c r="D32" s="18">
        <v>4.43</v>
      </c>
      <c r="E32" s="18">
        <v>3.16</v>
      </c>
      <c r="F32" s="18">
        <v>3.16</v>
      </c>
      <c r="G32" s="18">
        <v>3.84</v>
      </c>
      <c r="H32" s="27">
        <v>4.43</v>
      </c>
      <c r="I32" s="37">
        <v>3.74</v>
      </c>
    </row>
    <row r="33" spans="1:9" s="1" customFormat="1" ht="15">
      <c r="A33" s="19" t="s">
        <v>446</v>
      </c>
      <c r="B33" s="20" t="s">
        <v>447</v>
      </c>
      <c r="C33" s="21">
        <v>0.12</v>
      </c>
      <c r="D33" s="21">
        <v>0.12</v>
      </c>
      <c r="E33" s="21">
        <v>7.0000000000000007E-2</v>
      </c>
      <c r="F33" s="21">
        <v>7.0000000000000007E-2</v>
      </c>
      <c r="G33" s="21">
        <v>0.1</v>
      </c>
      <c r="H33" s="28">
        <v>0.12</v>
      </c>
      <c r="I33" s="38">
        <v>0.09</v>
      </c>
    </row>
    <row r="34" spans="1:9" s="1" customFormat="1" ht="15">
      <c r="A34" s="19" t="s">
        <v>448</v>
      </c>
      <c r="B34" s="20" t="s">
        <v>449</v>
      </c>
      <c r="C34" s="21">
        <v>6.45</v>
      </c>
      <c r="D34" s="21">
        <v>6.62</v>
      </c>
      <c r="E34" s="21">
        <v>3.99</v>
      </c>
      <c r="F34" s="21">
        <v>3.99</v>
      </c>
      <c r="G34" s="21">
        <v>5.26</v>
      </c>
      <c r="H34" s="28">
        <v>6.62</v>
      </c>
      <c r="I34" s="38">
        <v>5.12</v>
      </c>
    </row>
    <row r="35" spans="1:9" s="1" customFormat="1" ht="15">
      <c r="A35" s="19" t="s">
        <v>450</v>
      </c>
      <c r="B35" s="20" t="s">
        <v>451</v>
      </c>
      <c r="C35" s="21">
        <v>3.74</v>
      </c>
      <c r="D35" s="21">
        <v>3.74</v>
      </c>
      <c r="E35" s="21">
        <v>3.82</v>
      </c>
      <c r="F35" s="21">
        <v>3.82</v>
      </c>
      <c r="G35" s="21">
        <v>3.78</v>
      </c>
      <c r="H35" s="28">
        <v>3.74</v>
      </c>
      <c r="I35" s="38">
        <v>3.78</v>
      </c>
    </row>
    <row r="36" spans="1:9" s="1" customFormat="1" ht="30">
      <c r="A36" s="25" t="s">
        <v>452</v>
      </c>
      <c r="B36" s="26" t="s">
        <v>453</v>
      </c>
      <c r="C36" s="29">
        <v>0.93</v>
      </c>
      <c r="D36" s="29">
        <v>0.93</v>
      </c>
      <c r="E36" s="29">
        <v>0.93</v>
      </c>
      <c r="F36" s="29">
        <v>0.93</v>
      </c>
      <c r="G36" s="29">
        <v>0.93</v>
      </c>
      <c r="H36" s="30">
        <v>0.93</v>
      </c>
      <c r="I36" s="40">
        <v>0.93</v>
      </c>
    </row>
    <row r="37" spans="1:9" s="1" customFormat="1" ht="15.75">
      <c r="A37" s="22" t="s">
        <v>454</v>
      </c>
      <c r="B37" s="23" t="s">
        <v>442</v>
      </c>
      <c r="C37" s="24">
        <f t="shared" ref="C37:I37" si="2">ROUND(SUM(C32:C36),2)</f>
        <v>15.56</v>
      </c>
      <c r="D37" s="24">
        <f t="shared" si="2"/>
        <v>15.84</v>
      </c>
      <c r="E37" s="24">
        <f t="shared" si="2"/>
        <v>11.97</v>
      </c>
      <c r="F37" s="24">
        <f t="shared" si="2"/>
        <v>11.97</v>
      </c>
      <c r="G37" s="24">
        <f t="shared" si="2"/>
        <v>13.91</v>
      </c>
      <c r="H37" s="24">
        <f t="shared" si="2"/>
        <v>15.84</v>
      </c>
      <c r="I37" s="39">
        <f t="shared" si="2"/>
        <v>13.66</v>
      </c>
    </row>
    <row r="38" spans="1:9" s="1" customFormat="1" ht="15.75">
      <c r="A38" s="950" t="s">
        <v>455</v>
      </c>
      <c r="B38" s="951"/>
      <c r="C38" s="952"/>
      <c r="D38" s="952"/>
      <c r="E38" s="952"/>
      <c r="F38" s="952"/>
      <c r="G38" s="952"/>
      <c r="H38" s="952"/>
      <c r="I38" s="953"/>
    </row>
    <row r="39" spans="1:9" s="1" customFormat="1" ht="15">
      <c r="A39" s="16" t="s">
        <v>456</v>
      </c>
      <c r="B39" s="17" t="s">
        <v>457</v>
      </c>
      <c r="C39" s="18">
        <v>6.25</v>
      </c>
      <c r="D39" s="18">
        <v>6.17</v>
      </c>
      <c r="E39" s="18">
        <v>7.15</v>
      </c>
      <c r="F39" s="18">
        <v>7.15</v>
      </c>
      <c r="G39" s="18">
        <v>6.7</v>
      </c>
      <c r="H39" s="27">
        <v>6.17</v>
      </c>
      <c r="I39" s="37">
        <v>6.72</v>
      </c>
    </row>
    <row r="40" spans="1:9" s="1" customFormat="1" ht="45">
      <c r="A40" s="31" t="s">
        <v>458</v>
      </c>
      <c r="B40" s="32" t="s">
        <v>459</v>
      </c>
      <c r="C40" s="29">
        <v>0.39</v>
      </c>
      <c r="D40" s="29">
        <v>0.4</v>
      </c>
      <c r="E40" s="29">
        <v>0.28000000000000003</v>
      </c>
      <c r="F40" s="29">
        <v>0.28000000000000003</v>
      </c>
      <c r="G40" s="29">
        <v>0.34</v>
      </c>
      <c r="H40" s="30">
        <v>0.4</v>
      </c>
      <c r="I40" s="40">
        <v>0.33</v>
      </c>
    </row>
    <row r="42" spans="1:9" s="1" customFormat="1" ht="15.75">
      <c r="A42" s="22" t="s">
        <v>460</v>
      </c>
      <c r="B42" s="23" t="s">
        <v>26</v>
      </c>
      <c r="C42" s="24">
        <f>ROUND(SUM(C39:C40),2)</f>
        <v>6.64</v>
      </c>
      <c r="D42" s="24">
        <f t="shared" ref="D42:I42" si="3">ROUND(SUM(D39:D40),2)</f>
        <v>6.57</v>
      </c>
      <c r="E42" s="24">
        <f t="shared" si="3"/>
        <v>7.43</v>
      </c>
      <c r="F42" s="24">
        <f t="shared" si="3"/>
        <v>7.43</v>
      </c>
      <c r="G42" s="24">
        <f t="shared" si="3"/>
        <v>7.04</v>
      </c>
      <c r="H42" s="24">
        <f t="shared" si="3"/>
        <v>6.57</v>
      </c>
      <c r="I42" s="39">
        <f t="shared" si="3"/>
        <v>7.05</v>
      </c>
    </row>
    <row r="43" spans="1:9" s="1" customFormat="1" ht="15.75">
      <c r="A43" s="954" t="s">
        <v>461</v>
      </c>
      <c r="B43" s="955"/>
      <c r="C43" s="33">
        <f t="shared" ref="C43:I43" si="4">ROUND(C42+C37+C30+C19,2)</f>
        <v>75.98</v>
      </c>
      <c r="D43" s="33">
        <f t="shared" si="4"/>
        <v>76.05</v>
      </c>
      <c r="E43" s="33">
        <f t="shared" si="4"/>
        <v>75.66</v>
      </c>
      <c r="F43" s="33">
        <f t="shared" si="4"/>
        <v>75.69</v>
      </c>
      <c r="G43" s="33">
        <f t="shared" si="4"/>
        <v>76.010000000000005</v>
      </c>
      <c r="H43" s="33">
        <f t="shared" si="4"/>
        <v>76.05</v>
      </c>
      <c r="I43" s="41">
        <f t="shared" si="4"/>
        <v>75.84</v>
      </c>
    </row>
  </sheetData>
  <mergeCells count="11">
    <mergeCell ref="A43:B43"/>
    <mergeCell ref="A9:B9"/>
    <mergeCell ref="A10:I10"/>
    <mergeCell ref="A20:I20"/>
    <mergeCell ref="A31:I31"/>
    <mergeCell ref="A38:I38"/>
    <mergeCell ref="B2:I2"/>
    <mergeCell ref="B3:I3"/>
    <mergeCell ref="B4:I4"/>
    <mergeCell ref="A6:I6"/>
    <mergeCell ref="C8:I8"/>
  </mergeCells>
  <pageMargins left="0.75" right="0.75" top="1" bottom="1" header="0.5" footer="0.5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P44"/>
  <sheetViews>
    <sheetView view="pageBreakPreview" topLeftCell="A14" zoomScale="80" zoomScaleNormal="50" workbookViewId="0">
      <selection activeCell="D18" sqref="D18"/>
    </sheetView>
  </sheetViews>
  <sheetFormatPr defaultColWidth="9.140625" defaultRowHeight="12.75"/>
  <cols>
    <col min="1" max="1" width="10.7109375" style="1" customWidth="1"/>
    <col min="2" max="2" width="11.42578125" style="87" customWidth="1"/>
    <col min="3" max="3" width="11.28515625" style="568" customWidth="1"/>
    <col min="4" max="4" width="38.5703125" style="569" customWidth="1"/>
    <col min="5" max="5" width="36.7109375" style="1" customWidth="1"/>
    <col min="6" max="6" width="11.85546875" style="1"/>
    <col min="7" max="7" width="16.7109375" style="1" customWidth="1"/>
    <col min="8" max="8" width="17.5703125" style="570" customWidth="1"/>
    <col min="9" max="9" width="17.7109375" style="1" customWidth="1"/>
    <col min="10" max="10" width="5.140625" style="568" customWidth="1"/>
    <col min="11" max="11" width="9.140625" style="568"/>
    <col min="12" max="12" width="12.140625" style="1"/>
    <col min="13" max="16384" width="9.140625" style="1"/>
  </cols>
  <sheetData>
    <row r="1" spans="1:16" ht="14.25">
      <c r="A1" s="5"/>
      <c r="B1" s="88"/>
      <c r="C1" s="571" t="s">
        <v>0</v>
      </c>
      <c r="D1" s="88"/>
      <c r="E1" s="88"/>
      <c r="F1" s="572"/>
      <c r="G1" s="88"/>
      <c r="H1" s="573"/>
      <c r="I1" s="643"/>
    </row>
    <row r="2" spans="1:16" ht="14.25">
      <c r="A2" s="6"/>
      <c r="B2" s="90"/>
      <c r="C2" s="574" t="s">
        <v>1</v>
      </c>
      <c r="D2" s="574"/>
      <c r="E2" s="90"/>
      <c r="F2" s="575"/>
      <c r="G2" s="90"/>
      <c r="H2" s="576"/>
      <c r="I2" s="644"/>
    </row>
    <row r="3" spans="1:16" ht="14.25">
      <c r="A3" s="6"/>
      <c r="B3" s="90"/>
      <c r="C3" s="577" t="s">
        <v>2</v>
      </c>
      <c r="D3" s="90"/>
      <c r="E3" s="90"/>
      <c r="F3" s="575"/>
      <c r="G3" s="90"/>
      <c r="H3" s="576"/>
      <c r="I3" s="644"/>
    </row>
    <row r="4" spans="1:16" ht="35.1" customHeight="1">
      <c r="A4" s="708" t="str">
        <f>FSUP!A8</f>
        <v>SERVIÇOS TOPOGRÁFICOS E DE APOIO À FISCALIZAÇÃO E SUPERVISÃO TÉCNICA DE INSTRUMENTOS NA ÁREA DE ABRANGÊNCIA DA 2ª SR</v>
      </c>
      <c r="B4" s="709"/>
      <c r="C4" s="709"/>
      <c r="D4" s="709"/>
      <c r="E4" s="709"/>
      <c r="F4" s="710"/>
      <c r="G4" s="709"/>
      <c r="H4" s="711"/>
      <c r="I4" s="712"/>
      <c r="N4" s="327" t="s">
        <v>16</v>
      </c>
      <c r="O4" s="645">
        <v>12</v>
      </c>
      <c r="P4" s="329" t="s">
        <v>17</v>
      </c>
    </row>
    <row r="5" spans="1:16" ht="15">
      <c r="A5" s="713" t="s">
        <v>3</v>
      </c>
      <c r="B5" s="714"/>
      <c r="C5" s="715"/>
      <c r="D5" s="715"/>
      <c r="E5" s="715"/>
      <c r="F5" s="580"/>
      <c r="G5" s="581"/>
      <c r="H5" s="582"/>
      <c r="I5" s="644"/>
    </row>
    <row r="6" spans="1:16" ht="15">
      <c r="A6" s="583"/>
      <c r="B6" s="578"/>
      <c r="C6" s="578"/>
      <c r="D6" s="578"/>
      <c r="E6" s="578"/>
      <c r="F6" s="580"/>
      <c r="G6" s="581"/>
      <c r="H6" s="582"/>
      <c r="I6" s="644"/>
    </row>
    <row r="7" spans="1:16" ht="15">
      <c r="A7" s="583" t="s">
        <v>4</v>
      </c>
      <c r="B7" s="578"/>
      <c r="C7" s="579" t="s">
        <v>5</v>
      </c>
      <c r="D7" s="578"/>
      <c r="E7" s="578"/>
      <c r="F7" s="580"/>
      <c r="G7" s="716" t="s">
        <v>6</v>
      </c>
      <c r="H7" s="717"/>
      <c r="I7" s="646">
        <f>0.4496</f>
        <v>0.4496</v>
      </c>
      <c r="J7" s="568" t="s">
        <v>18</v>
      </c>
    </row>
    <row r="8" spans="1:16" ht="18">
      <c r="A8" s="718" t="s">
        <v>19</v>
      </c>
      <c r="B8" s="719"/>
      <c r="C8" s="719"/>
      <c r="D8" s="719"/>
      <c r="E8" s="719"/>
      <c r="F8" s="720"/>
      <c r="G8" s="719"/>
      <c r="H8" s="721"/>
      <c r="I8" s="722"/>
    </row>
    <row r="9" spans="1:16" ht="30">
      <c r="A9" s="584" t="s">
        <v>8</v>
      </c>
      <c r="B9" s="585" t="s">
        <v>20</v>
      </c>
      <c r="C9" s="586" t="s">
        <v>21</v>
      </c>
      <c r="D9" s="587" t="s">
        <v>9</v>
      </c>
      <c r="E9" s="585" t="s">
        <v>22</v>
      </c>
      <c r="F9" s="585" t="s">
        <v>23</v>
      </c>
      <c r="G9" s="585" t="s">
        <v>24</v>
      </c>
      <c r="H9" s="588" t="s">
        <v>25</v>
      </c>
      <c r="I9" s="647" t="s">
        <v>26</v>
      </c>
    </row>
    <row r="10" spans="1:16" ht="15">
      <c r="A10" s="589">
        <v>1</v>
      </c>
      <c r="B10" s="590"/>
      <c r="C10" s="591"/>
      <c r="D10" s="592" t="s">
        <v>27</v>
      </c>
      <c r="E10" s="591"/>
      <c r="F10" s="593"/>
      <c r="G10" s="591"/>
      <c r="H10" s="594"/>
      <c r="I10" s="648">
        <f>I11+I23</f>
        <v>3576171.3700000006</v>
      </c>
    </row>
    <row r="11" spans="1:16" ht="15">
      <c r="A11" s="595" t="s">
        <v>28</v>
      </c>
      <c r="B11" s="596"/>
      <c r="C11" s="597"/>
      <c r="D11" s="598" t="s">
        <v>29</v>
      </c>
      <c r="E11" s="597"/>
      <c r="F11" s="599"/>
      <c r="G11" s="597"/>
      <c r="H11" s="600"/>
      <c r="I11" s="649">
        <f>SUM(I12:I21)</f>
        <v>2779453.8100000005</v>
      </c>
      <c r="L11" s="650"/>
    </row>
    <row r="12" spans="1:16" ht="15">
      <c r="A12" s="601" t="s">
        <v>30</v>
      </c>
      <c r="B12" s="602" t="s">
        <v>31</v>
      </c>
      <c r="C12" s="602" t="s">
        <v>32</v>
      </c>
      <c r="D12" s="603" t="s">
        <v>33</v>
      </c>
      <c r="E12" s="604" t="s">
        <v>34</v>
      </c>
      <c r="F12" s="605">
        <f>('FSUP-II'!C17+'FSUP-II'!C18)*$O$4</f>
        <v>24</v>
      </c>
      <c r="G12" s="606">
        <f>'FSUP-I'!H14</f>
        <v>22257.985913906399</v>
      </c>
      <c r="H12" s="607">
        <f>G12+G12*$I$7</f>
        <v>32265.176380798715</v>
      </c>
      <c r="I12" s="651">
        <f>ROUND(H12*F12,2)</f>
        <v>774364.23</v>
      </c>
    </row>
    <row r="13" spans="1:16" ht="15">
      <c r="A13" s="601" t="s">
        <v>35</v>
      </c>
      <c r="B13" s="602" t="s">
        <v>31</v>
      </c>
      <c r="C13" s="602" t="s">
        <v>32</v>
      </c>
      <c r="D13" s="603" t="s">
        <v>36</v>
      </c>
      <c r="E13" s="604" t="s">
        <v>34</v>
      </c>
      <c r="F13" s="605">
        <f>'FSUP-II'!C19*$O$4</f>
        <v>12</v>
      </c>
      <c r="G13" s="606">
        <f>'FSUP-I'!H14</f>
        <v>22257.985913906399</v>
      </c>
      <c r="H13" s="607">
        <f>G13+G13*$I$7</f>
        <v>32265.176380798715</v>
      </c>
      <c r="I13" s="651">
        <f t="shared" ref="I13:I21" si="0">ROUND(H13*F13,2)</f>
        <v>387182.12</v>
      </c>
    </row>
    <row r="14" spans="1:16" ht="15">
      <c r="A14" s="601" t="s">
        <v>37</v>
      </c>
      <c r="B14" s="602" t="s">
        <v>31</v>
      </c>
      <c r="C14" s="602" t="s">
        <v>32</v>
      </c>
      <c r="D14" s="603" t="s">
        <v>38</v>
      </c>
      <c r="E14" s="604" t="s">
        <v>34</v>
      </c>
      <c r="F14" s="605">
        <f>'FSUP-II'!C20*$O$4</f>
        <v>12</v>
      </c>
      <c r="G14" s="606">
        <f>'FSUP-I'!H14</f>
        <v>22257.985913906399</v>
      </c>
      <c r="H14" s="607">
        <f>G14+G14*$I$7</f>
        <v>32265.176380798715</v>
      </c>
      <c r="I14" s="651">
        <f t="shared" si="0"/>
        <v>387182.12</v>
      </c>
    </row>
    <row r="15" spans="1:16" ht="15">
      <c r="A15" s="601" t="s">
        <v>39</v>
      </c>
      <c r="B15" s="602" t="s">
        <v>40</v>
      </c>
      <c r="C15" s="602" t="s">
        <v>32</v>
      </c>
      <c r="D15" s="608" t="s">
        <v>41</v>
      </c>
      <c r="E15" s="604" t="s">
        <v>34</v>
      </c>
      <c r="F15" s="605">
        <f>'FSUP-II'!C21*$O$4</f>
        <v>12</v>
      </c>
      <c r="G15" s="606">
        <f>'FSUP-I'!H15</f>
        <v>6057.5219525120001</v>
      </c>
      <c r="H15" s="607">
        <f t="shared" ref="H15:H21" si="1">G15+G15*$I$7</f>
        <v>8780.9838223613951</v>
      </c>
      <c r="I15" s="651">
        <f t="shared" si="0"/>
        <v>105371.81</v>
      </c>
    </row>
    <row r="16" spans="1:16" ht="15">
      <c r="A16" s="601" t="s">
        <v>42</v>
      </c>
      <c r="B16" s="602" t="s">
        <v>43</v>
      </c>
      <c r="C16" s="602" t="s">
        <v>32</v>
      </c>
      <c r="D16" s="603" t="s">
        <v>44</v>
      </c>
      <c r="E16" s="604" t="s">
        <v>34</v>
      </c>
      <c r="F16" s="605">
        <f>'FSUP-I'!N17*$O$4</f>
        <v>12</v>
      </c>
      <c r="G16" s="606">
        <f>'FSUP-I'!H17</f>
        <v>5266.4033084279999</v>
      </c>
      <c r="H16" s="607">
        <f t="shared" si="1"/>
        <v>7634.1782358972287</v>
      </c>
      <c r="I16" s="651">
        <f t="shared" si="0"/>
        <v>91610.14</v>
      </c>
    </row>
    <row r="17" spans="1:12" ht="15">
      <c r="A17" s="601" t="s">
        <v>45</v>
      </c>
      <c r="B17" s="602" t="s">
        <v>46</v>
      </c>
      <c r="C17" s="602" t="s">
        <v>32</v>
      </c>
      <c r="D17" s="603" t="s">
        <v>47</v>
      </c>
      <c r="E17" s="604" t="s">
        <v>34</v>
      </c>
      <c r="F17" s="605">
        <f>'FSUP-I'!N18*$O$4</f>
        <v>48</v>
      </c>
      <c r="G17" s="606">
        <f>'FSUP-I'!H18</f>
        <v>7230.0236206</v>
      </c>
      <c r="H17" s="607">
        <f t="shared" si="1"/>
        <v>10480.642240421759</v>
      </c>
      <c r="I17" s="651">
        <f t="shared" si="0"/>
        <v>503070.83</v>
      </c>
    </row>
    <row r="18" spans="1:12" ht="12.95" customHeight="1">
      <c r="A18" s="601" t="s">
        <v>48</v>
      </c>
      <c r="B18" s="609" t="s">
        <v>49</v>
      </c>
      <c r="C18" s="602" t="s">
        <v>32</v>
      </c>
      <c r="D18" s="603" t="s">
        <v>50</v>
      </c>
      <c r="E18" s="604" t="s">
        <v>34</v>
      </c>
      <c r="F18" s="605">
        <f>'FSUP-I'!N19*$O$4</f>
        <v>48</v>
      </c>
      <c r="G18" s="610">
        <f>'FSUP-I'!H19</f>
        <v>4337.3745799999997</v>
      </c>
      <c r="H18" s="607">
        <f t="shared" si="1"/>
        <v>6287.4581911679998</v>
      </c>
      <c r="I18" s="651">
        <f t="shared" si="0"/>
        <v>301797.99</v>
      </c>
    </row>
    <row r="19" spans="1:12" ht="15">
      <c r="A19" s="601" t="s">
        <v>51</v>
      </c>
      <c r="B19" s="602" t="s">
        <v>52</v>
      </c>
      <c r="C19" s="602" t="s">
        <v>32</v>
      </c>
      <c r="D19" s="603" t="s">
        <v>53</v>
      </c>
      <c r="E19" s="604" t="s">
        <v>34</v>
      </c>
      <c r="F19" s="605">
        <f>'FSUP-I'!N21*$O$4</f>
        <v>12</v>
      </c>
      <c r="G19" s="610">
        <f>'FSUP-I'!H21</f>
        <v>4730.8795049999999</v>
      </c>
      <c r="H19" s="607">
        <f t="shared" si="1"/>
        <v>6857.8829304480005</v>
      </c>
      <c r="I19" s="651">
        <f t="shared" si="0"/>
        <v>82294.600000000006</v>
      </c>
    </row>
    <row r="20" spans="1:12" ht="15">
      <c r="A20" s="601" t="s">
        <v>54</v>
      </c>
      <c r="B20" s="602" t="s">
        <v>55</v>
      </c>
      <c r="C20" s="602" t="s">
        <v>32</v>
      </c>
      <c r="D20" s="603" t="s">
        <v>56</v>
      </c>
      <c r="E20" s="604" t="s">
        <v>34</v>
      </c>
      <c r="F20" s="605">
        <f>'FSUP-I'!N22*$O$4</f>
        <v>12</v>
      </c>
      <c r="G20" s="610">
        <f>'FSUP-I'!H22</f>
        <v>4775.9434250000004</v>
      </c>
      <c r="H20" s="607">
        <f t="shared" si="1"/>
        <v>6923.2075888800009</v>
      </c>
      <c r="I20" s="651">
        <f t="shared" si="0"/>
        <v>83078.490000000005</v>
      </c>
    </row>
    <row r="21" spans="1:12" ht="15">
      <c r="A21" s="601" t="s">
        <v>57</v>
      </c>
      <c r="B21" s="602" t="s">
        <v>58</v>
      </c>
      <c r="C21" s="602" t="s">
        <v>59</v>
      </c>
      <c r="D21" s="603" t="s">
        <v>60</v>
      </c>
      <c r="E21" s="604" t="s">
        <v>34</v>
      </c>
      <c r="F21" s="605">
        <f>'FSUP-I'!N23*$O$4</f>
        <v>12</v>
      </c>
      <c r="G21" s="610">
        <f>'FSUP-I'!H23</f>
        <v>3650.517632</v>
      </c>
      <c r="H21" s="607">
        <f t="shared" si="1"/>
        <v>5291.7903593472001</v>
      </c>
      <c r="I21" s="651">
        <f t="shared" si="0"/>
        <v>63501.48</v>
      </c>
    </row>
    <row r="22" spans="1:12" ht="15">
      <c r="A22" s="611"/>
      <c r="B22" s="612"/>
      <c r="C22" s="612"/>
      <c r="D22" s="613"/>
      <c r="E22" s="614"/>
      <c r="F22" s="615"/>
      <c r="G22" s="616"/>
      <c r="H22" s="617"/>
      <c r="I22" s="652"/>
    </row>
    <row r="23" spans="1:12" ht="15">
      <c r="A23" s="595" t="s">
        <v>61</v>
      </c>
      <c r="B23" s="596"/>
      <c r="C23" s="597"/>
      <c r="D23" s="598" t="s">
        <v>62</v>
      </c>
      <c r="E23" s="618"/>
      <c r="F23" s="619"/>
      <c r="G23" s="597"/>
      <c r="H23" s="600"/>
      <c r="I23" s="653">
        <f>SUM(I24:I24)</f>
        <v>796717.56</v>
      </c>
      <c r="L23" s="650"/>
    </row>
    <row r="24" spans="1:12" ht="30" customHeight="1">
      <c r="A24" s="601" t="s">
        <v>63</v>
      </c>
      <c r="B24" s="725" t="s">
        <v>64</v>
      </c>
      <c r="C24" s="726"/>
      <c r="D24" s="620" t="s">
        <v>65</v>
      </c>
      <c r="E24" s="621" t="s">
        <v>66</v>
      </c>
      <c r="F24" s="605">
        <f>'FSUP-II'!G23*$O$4</f>
        <v>2520</v>
      </c>
      <c r="G24" s="622">
        <f>'FSUP-II'!M13</f>
        <v>218.1</v>
      </c>
      <c r="H24" s="607">
        <f>G24+G24*$I$7</f>
        <v>316.15776</v>
      </c>
      <c r="I24" s="654">
        <f>ROUND(F24*H24,2)</f>
        <v>796717.56</v>
      </c>
      <c r="J24" s="655">
        <f>'Memória de Cálculo'!AE16</f>
        <v>210</v>
      </c>
      <c r="K24" s="568" t="s">
        <v>67</v>
      </c>
    </row>
    <row r="25" spans="1:12" ht="15">
      <c r="A25" s="611"/>
      <c r="B25" s="614"/>
      <c r="C25" s="623"/>
      <c r="D25" s="624"/>
      <c r="E25" s="614"/>
      <c r="F25" s="615"/>
      <c r="G25" s="625"/>
      <c r="H25" s="626"/>
      <c r="I25" s="656"/>
    </row>
    <row r="26" spans="1:12" ht="15">
      <c r="A26" s="589">
        <v>2</v>
      </c>
      <c r="B26" s="590"/>
      <c r="C26" s="591"/>
      <c r="D26" s="592" t="s">
        <v>68</v>
      </c>
      <c r="E26" s="627"/>
      <c r="F26" s="628"/>
      <c r="G26" s="591"/>
      <c r="H26" s="594"/>
      <c r="I26" s="648">
        <f>I27+I35</f>
        <v>1432687.8000000003</v>
      </c>
    </row>
    <row r="27" spans="1:12" ht="15">
      <c r="A27" s="595" t="s">
        <v>69</v>
      </c>
      <c r="B27" s="596"/>
      <c r="C27" s="597"/>
      <c r="D27" s="598" t="s">
        <v>70</v>
      </c>
      <c r="E27" s="618"/>
      <c r="F27" s="619"/>
      <c r="G27" s="597"/>
      <c r="H27" s="600"/>
      <c r="I27" s="649">
        <f>SUM(I28:I33)</f>
        <v>892571.01000000013</v>
      </c>
      <c r="L27" s="657"/>
    </row>
    <row r="28" spans="1:12" ht="42.75">
      <c r="A28" s="601" t="s">
        <v>71</v>
      </c>
      <c r="B28" s="621" t="s">
        <v>72</v>
      </c>
      <c r="C28" s="602" t="s">
        <v>32</v>
      </c>
      <c r="D28" s="629" t="s">
        <v>73</v>
      </c>
      <c r="E28" s="604" t="s">
        <v>74</v>
      </c>
      <c r="F28" s="605">
        <f>'FSUP-III'!K13*$O$4</f>
        <v>12</v>
      </c>
      <c r="G28" s="630">
        <f>'Memória de Cálculo'!AF31</f>
        <v>3367.61</v>
      </c>
      <c r="H28" s="607">
        <f t="shared" ref="H28:H33" si="2">G28+G28*$I$7</f>
        <v>4881.6874559999997</v>
      </c>
      <c r="I28" s="651">
        <f>ROUND(F28*H28,2)</f>
        <v>58580.25</v>
      </c>
    </row>
    <row r="29" spans="1:12" ht="59.1" customHeight="1">
      <c r="A29" s="601" t="s">
        <v>75</v>
      </c>
      <c r="B29" s="621" t="s">
        <v>76</v>
      </c>
      <c r="C29" s="631" t="s">
        <v>59</v>
      </c>
      <c r="D29" s="629" t="s">
        <v>77</v>
      </c>
      <c r="E29" s="604" t="s">
        <v>74</v>
      </c>
      <c r="F29" s="605">
        <f>'FSUP-III'!K14*$O$4</f>
        <v>12</v>
      </c>
      <c r="G29" s="630">
        <f>'Memória de Cálculo'!AF39</f>
        <v>13736.17</v>
      </c>
      <c r="H29" s="607">
        <f t="shared" si="2"/>
        <v>19911.952032000001</v>
      </c>
      <c r="I29" s="651">
        <f t="shared" ref="I29:I33" si="3">ROUND(F29*H29,2)</f>
        <v>238943.42</v>
      </c>
    </row>
    <row r="30" spans="1:12" ht="28.5">
      <c r="A30" s="601" t="s">
        <v>78</v>
      </c>
      <c r="B30" s="621" t="s">
        <v>72</v>
      </c>
      <c r="C30" s="602" t="s">
        <v>32</v>
      </c>
      <c r="D30" s="632" t="s">
        <v>79</v>
      </c>
      <c r="E30" s="604" t="s">
        <v>74</v>
      </c>
      <c r="F30" s="605">
        <f>'FSUP-III'!K16*$O$4</f>
        <v>12</v>
      </c>
      <c r="G30" s="630">
        <f>'Memória de Cálculo'!AF31</f>
        <v>3367.61</v>
      </c>
      <c r="H30" s="607">
        <f t="shared" si="2"/>
        <v>4881.6874559999997</v>
      </c>
      <c r="I30" s="651">
        <f t="shared" si="3"/>
        <v>58580.25</v>
      </c>
    </row>
    <row r="31" spans="1:12" ht="47.1" customHeight="1">
      <c r="A31" s="601" t="s">
        <v>80</v>
      </c>
      <c r="B31" s="621" t="s">
        <v>76</v>
      </c>
      <c r="C31" s="631" t="s">
        <v>59</v>
      </c>
      <c r="D31" s="629" t="s">
        <v>81</v>
      </c>
      <c r="E31" s="604" t="s">
        <v>74</v>
      </c>
      <c r="F31" s="605">
        <f>'FSUP-III'!K17*$O$4</f>
        <v>12</v>
      </c>
      <c r="G31" s="630">
        <f>'Memória de Cálculo'!AF39</f>
        <v>13736.17</v>
      </c>
      <c r="H31" s="607">
        <f t="shared" si="2"/>
        <v>19911.952032000001</v>
      </c>
      <c r="I31" s="651">
        <f t="shared" si="3"/>
        <v>238943.42</v>
      </c>
    </row>
    <row r="32" spans="1:12" ht="42.75">
      <c r="A32" s="601" t="s">
        <v>82</v>
      </c>
      <c r="B32" s="621" t="s">
        <v>72</v>
      </c>
      <c r="C32" s="602" t="s">
        <v>32</v>
      </c>
      <c r="D32" s="632" t="s">
        <v>83</v>
      </c>
      <c r="E32" s="604" t="s">
        <v>74</v>
      </c>
      <c r="F32" s="605">
        <f>'FSUP-III'!K19*$O$4</f>
        <v>12</v>
      </c>
      <c r="G32" s="630">
        <f>'Memória de Cálculo'!AF31</f>
        <v>3367.61</v>
      </c>
      <c r="H32" s="607">
        <f t="shared" si="2"/>
        <v>4881.6874559999997</v>
      </c>
      <c r="I32" s="651">
        <f t="shared" si="3"/>
        <v>58580.25</v>
      </c>
    </row>
    <row r="33" spans="1:12" ht="42.75">
      <c r="A33" s="601" t="s">
        <v>84</v>
      </c>
      <c r="B33" s="621" t="s">
        <v>76</v>
      </c>
      <c r="C33" s="631" t="s">
        <v>59</v>
      </c>
      <c r="D33" s="629" t="s">
        <v>85</v>
      </c>
      <c r="E33" s="604" t="s">
        <v>74</v>
      </c>
      <c r="F33" s="605">
        <f>'FSUP-III'!K20*$O$4</f>
        <v>12</v>
      </c>
      <c r="G33" s="630">
        <f>'Memória de Cálculo'!AF39</f>
        <v>13736.17</v>
      </c>
      <c r="H33" s="607">
        <f t="shared" si="2"/>
        <v>19911.952032000001</v>
      </c>
      <c r="I33" s="651">
        <f t="shared" si="3"/>
        <v>238943.42</v>
      </c>
    </row>
    <row r="34" spans="1:12" ht="15">
      <c r="A34" s="611"/>
      <c r="B34" s="614"/>
      <c r="C34" s="633"/>
      <c r="D34" s="634"/>
      <c r="E34" s="635"/>
      <c r="F34" s="615"/>
      <c r="G34" s="636"/>
      <c r="H34" s="617"/>
      <c r="I34" s="652"/>
    </row>
    <row r="35" spans="1:12" ht="15">
      <c r="A35" s="595" t="s">
        <v>86</v>
      </c>
      <c r="B35" s="596"/>
      <c r="C35" s="597"/>
      <c r="D35" s="598" t="s">
        <v>87</v>
      </c>
      <c r="E35" s="597"/>
      <c r="F35" s="599"/>
      <c r="G35" s="597"/>
      <c r="H35" s="600"/>
      <c r="I35" s="649">
        <f>SUM(I36:I40)</f>
        <v>540116.79</v>
      </c>
      <c r="L35" s="657"/>
    </row>
    <row r="36" spans="1:12" ht="28.5">
      <c r="A36" s="601" t="s">
        <v>88</v>
      </c>
      <c r="B36" s="637" t="s">
        <v>89</v>
      </c>
      <c r="C36" s="638" t="s">
        <v>59</v>
      </c>
      <c r="D36" s="639" t="s">
        <v>90</v>
      </c>
      <c r="E36" s="604" t="s">
        <v>91</v>
      </c>
      <c r="F36" s="605">
        <f>'FSUP-III'!G24</f>
        <v>1152</v>
      </c>
      <c r="G36" s="640">
        <f>'FSUP-III'!H24</f>
        <v>45.61</v>
      </c>
      <c r="H36" s="607">
        <f t="shared" ref="H36:H40" si="4">G36+G36*$I$7</f>
        <v>66.116255999999993</v>
      </c>
      <c r="I36" s="651">
        <f t="shared" ref="I36:I40" si="5">ROUND(F36*H36,2)</f>
        <v>76165.929999999993</v>
      </c>
      <c r="J36" s="568" t="s">
        <v>92</v>
      </c>
    </row>
    <row r="37" spans="1:12" ht="15">
      <c r="A37" s="601" t="s">
        <v>93</v>
      </c>
      <c r="B37" s="637" t="s">
        <v>94</v>
      </c>
      <c r="C37" s="638" t="s">
        <v>59</v>
      </c>
      <c r="D37" s="639" t="s">
        <v>95</v>
      </c>
      <c r="E37" s="604" t="s">
        <v>96</v>
      </c>
      <c r="F37" s="605">
        <f>'FSUP-III'!G25</f>
        <v>204</v>
      </c>
      <c r="G37" s="640">
        <f>'FSUP-III'!H25</f>
        <v>478.1</v>
      </c>
      <c r="H37" s="607">
        <f t="shared" si="4"/>
        <v>693.05376000000001</v>
      </c>
      <c r="I37" s="651">
        <f t="shared" si="5"/>
        <v>141382.97</v>
      </c>
      <c r="J37" s="655"/>
    </row>
    <row r="38" spans="1:12" ht="15">
      <c r="A38" s="601" t="s">
        <v>97</v>
      </c>
      <c r="B38" s="637" t="s">
        <v>98</v>
      </c>
      <c r="C38" s="638" t="s">
        <v>59</v>
      </c>
      <c r="D38" s="639" t="s">
        <v>99</v>
      </c>
      <c r="E38" s="604" t="s">
        <v>96</v>
      </c>
      <c r="F38" s="605">
        <f>'FSUP-III'!G26</f>
        <v>204</v>
      </c>
      <c r="G38" s="640">
        <f>'FSUP-III'!H26</f>
        <v>128.72</v>
      </c>
      <c r="H38" s="607">
        <f t="shared" si="4"/>
        <v>186.592512</v>
      </c>
      <c r="I38" s="651">
        <f t="shared" si="5"/>
        <v>38064.870000000003</v>
      </c>
      <c r="J38" s="655"/>
    </row>
    <row r="39" spans="1:12" ht="15">
      <c r="A39" s="601" t="s">
        <v>100</v>
      </c>
      <c r="B39" s="637" t="s">
        <v>101</v>
      </c>
      <c r="C39" s="638" t="s">
        <v>59</v>
      </c>
      <c r="D39" s="639" t="s">
        <v>102</v>
      </c>
      <c r="E39" s="604" t="s">
        <v>103</v>
      </c>
      <c r="F39" s="605">
        <f>'FSUP-III'!G27</f>
        <v>48</v>
      </c>
      <c r="G39" s="640">
        <f>'FSUP-III'!H27</f>
        <v>2964.73</v>
      </c>
      <c r="H39" s="607">
        <f t="shared" si="4"/>
        <v>4297.6726079999999</v>
      </c>
      <c r="I39" s="651">
        <f t="shared" si="5"/>
        <v>206288.29</v>
      </c>
      <c r="J39" s="568">
        <f>'FSUP-III'!L27</f>
        <v>4</v>
      </c>
      <c r="K39" s="568" t="s">
        <v>104</v>
      </c>
    </row>
    <row r="40" spans="1:12" ht="15">
      <c r="A40" s="601" t="s">
        <v>105</v>
      </c>
      <c r="B40" s="637" t="s">
        <v>106</v>
      </c>
      <c r="C40" s="638" t="s">
        <v>59</v>
      </c>
      <c r="D40" s="639" t="s">
        <v>107</v>
      </c>
      <c r="E40" s="604" t="s">
        <v>108</v>
      </c>
      <c r="F40" s="605">
        <f>'FSUP-III'!G28</f>
        <v>12</v>
      </c>
      <c r="G40" s="640">
        <f>'FSUP-III'!H28</f>
        <v>4496.34</v>
      </c>
      <c r="H40" s="607">
        <f t="shared" si="4"/>
        <v>6517.894464</v>
      </c>
      <c r="I40" s="651">
        <f t="shared" si="5"/>
        <v>78214.73</v>
      </c>
      <c r="J40" s="568">
        <f>'FSUP-III'!K28</f>
        <v>1</v>
      </c>
      <c r="K40" s="568" t="s">
        <v>109</v>
      </c>
    </row>
    <row r="41" spans="1:12" ht="15">
      <c r="A41" s="727"/>
      <c r="B41" s="728"/>
      <c r="C41" s="729"/>
      <c r="D41" s="642"/>
      <c r="E41" s="641"/>
      <c r="F41" s="730"/>
      <c r="G41" s="730"/>
      <c r="H41" s="731"/>
      <c r="I41" s="732"/>
    </row>
    <row r="42" spans="1:12" ht="15">
      <c r="A42" s="727"/>
      <c r="B42" s="728"/>
      <c r="C42" s="729"/>
      <c r="D42" s="642"/>
      <c r="E42" s="641"/>
      <c r="F42" s="730"/>
      <c r="G42" s="730"/>
      <c r="H42" s="731"/>
      <c r="I42" s="732"/>
    </row>
    <row r="43" spans="1:12" ht="36.950000000000003" customHeight="1">
      <c r="A43" s="733" t="s">
        <v>110</v>
      </c>
      <c r="B43" s="734"/>
      <c r="C43" s="734"/>
      <c r="D43" s="735"/>
      <c r="E43" s="734"/>
      <c r="F43" s="734"/>
      <c r="G43" s="734"/>
      <c r="H43" s="736">
        <f>I10+I26</f>
        <v>5008859.1700000009</v>
      </c>
      <c r="I43" s="737"/>
    </row>
    <row r="44" spans="1:12" ht="18">
      <c r="A44" s="738" t="s">
        <v>111</v>
      </c>
      <c r="B44" s="739"/>
      <c r="C44" s="739"/>
      <c r="D44" s="740"/>
      <c r="E44" s="739"/>
      <c r="F44" s="739"/>
      <c r="G44" s="739"/>
      <c r="H44" s="741">
        <f>H43/O4</f>
        <v>417404.9308333334</v>
      </c>
      <c r="I44" s="742"/>
    </row>
  </sheetData>
  <mergeCells count="15">
    <mergeCell ref="A43:G43"/>
    <mergeCell ref="H43:I43"/>
    <mergeCell ref="A44:G44"/>
    <mergeCell ref="H44:I44"/>
    <mergeCell ref="A41:C41"/>
    <mergeCell ref="F41:G41"/>
    <mergeCell ref="H41:I41"/>
    <mergeCell ref="A42:C42"/>
    <mergeCell ref="F42:G42"/>
    <mergeCell ref="H42:I42"/>
    <mergeCell ref="A4:I4"/>
    <mergeCell ref="A5:E5"/>
    <mergeCell ref="G7:H7"/>
    <mergeCell ref="A8:I8"/>
    <mergeCell ref="B24:C24"/>
  </mergeCells>
  <pageMargins left="0.75" right="0.75" top="1" bottom="1" header="0.5" footer="0.5"/>
  <pageSetup paperSize="9" scale="50" orientation="landscape" r:id="rId1"/>
  <rowBreaks count="1" manualBreakCount="1">
    <brk id="44" max="16383" man="1"/>
  </rowBreaks>
  <colBreaks count="1" manualBreakCount="1">
    <brk id="9" max="1048575" man="1"/>
  </colBreaks>
  <ignoredErrors>
    <ignoredError sqref="G2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"/>
  <sheetViews>
    <sheetView showGridLines="0" view="pageBreakPreview" topLeftCell="A31" zoomScaleNormal="60" workbookViewId="0">
      <selection activeCell="N49" sqref="N49"/>
    </sheetView>
  </sheetViews>
  <sheetFormatPr defaultColWidth="11.42578125" defaultRowHeight="11.25"/>
  <cols>
    <col min="1" max="1" width="2.42578125" style="161" customWidth="1"/>
    <col min="2" max="2" width="5" style="161" customWidth="1"/>
    <col min="3" max="3" width="8.7109375" style="161" customWidth="1"/>
    <col min="4" max="4" width="3.42578125" style="161" customWidth="1"/>
    <col min="5" max="5" width="3.5703125" style="161" customWidth="1"/>
    <col min="6" max="7" width="5" style="161" customWidth="1"/>
    <col min="8" max="8" width="1.7109375" style="161" customWidth="1"/>
    <col min="9" max="9" width="8.5703125" style="161" customWidth="1"/>
    <col min="10" max="10" width="8.28515625" style="161" customWidth="1"/>
    <col min="11" max="11" width="4.5703125" style="161" customWidth="1"/>
    <col min="12" max="12" width="5.85546875" style="161" customWidth="1"/>
    <col min="13" max="13" width="16.7109375" style="161" customWidth="1"/>
    <col min="14" max="14" width="3" style="161" customWidth="1"/>
    <col min="15" max="15" width="40.28515625" style="161" customWidth="1"/>
    <col min="16" max="16" width="2.7109375" style="161" customWidth="1"/>
    <col min="17" max="17" width="12.5703125" style="161"/>
    <col min="18" max="16384" width="11.42578125" style="161"/>
  </cols>
  <sheetData>
    <row r="1" spans="1:21">
      <c r="H1" s="161" t="s">
        <v>112</v>
      </c>
    </row>
    <row r="2" spans="1:21">
      <c r="H2" s="161" t="s">
        <v>113</v>
      </c>
    </row>
    <row r="3" spans="1:21">
      <c r="H3" s="161" t="s">
        <v>114</v>
      </c>
    </row>
    <row r="5" spans="1:21">
      <c r="A5" s="783" t="s">
        <v>115</v>
      </c>
      <c r="B5" s="783"/>
      <c r="C5" s="783"/>
      <c r="D5" s="783"/>
      <c r="E5" s="783"/>
      <c r="F5" s="783"/>
      <c r="G5" s="783"/>
      <c r="H5" s="783"/>
      <c r="I5" s="783"/>
      <c r="J5" s="783"/>
      <c r="K5" s="783"/>
      <c r="L5" s="783"/>
      <c r="M5" s="783"/>
      <c r="N5" s="743" t="s">
        <v>116</v>
      </c>
      <c r="O5" s="743"/>
    </row>
    <row r="6" spans="1:21" ht="19.899999999999999" customHeight="1">
      <c r="A6" s="783"/>
      <c r="B6" s="783"/>
      <c r="C6" s="783"/>
      <c r="D6" s="783"/>
      <c r="E6" s="783"/>
      <c r="F6" s="783"/>
      <c r="G6" s="783"/>
      <c r="H6" s="783"/>
      <c r="I6" s="783"/>
      <c r="J6" s="783"/>
      <c r="K6" s="783"/>
      <c r="L6" s="783"/>
      <c r="M6" s="783"/>
      <c r="N6" s="744" t="s">
        <v>117</v>
      </c>
      <c r="O6" s="744"/>
      <c r="P6" s="546"/>
    </row>
    <row r="7" spans="1:21" ht="13.15" customHeight="1">
      <c r="A7" s="745" t="s">
        <v>118</v>
      </c>
      <c r="B7" s="746"/>
      <c r="C7" s="746"/>
      <c r="D7" s="746"/>
      <c r="E7" s="746"/>
      <c r="F7" s="746"/>
      <c r="G7" s="746"/>
      <c r="H7" s="746"/>
      <c r="I7" s="746"/>
      <c r="J7" s="746"/>
      <c r="K7" s="746"/>
      <c r="L7" s="746"/>
      <c r="M7" s="747"/>
      <c r="N7" s="748" t="s">
        <v>119</v>
      </c>
      <c r="O7" s="749"/>
      <c r="P7" s="546"/>
      <c r="S7" s="327" t="s">
        <v>16</v>
      </c>
      <c r="T7" s="506">
        <v>12</v>
      </c>
      <c r="U7" s="329" t="s">
        <v>17</v>
      </c>
    </row>
    <row r="8" spans="1:21" s="543" customFormat="1" ht="26.45" customHeight="1">
      <c r="A8" s="750" t="s">
        <v>120</v>
      </c>
      <c r="B8" s="751"/>
      <c r="C8" s="751"/>
      <c r="D8" s="751"/>
      <c r="E8" s="751"/>
      <c r="F8" s="751"/>
      <c r="G8" s="751"/>
      <c r="H8" s="751"/>
      <c r="I8" s="751"/>
      <c r="J8" s="751"/>
      <c r="K8" s="751"/>
      <c r="L8" s="751"/>
      <c r="M8" s="752"/>
      <c r="N8" s="753"/>
      <c r="O8" s="754"/>
      <c r="P8" s="556"/>
    </row>
    <row r="9" spans="1:21" ht="13.15" customHeight="1">
      <c r="A9" s="755" t="s">
        <v>121</v>
      </c>
      <c r="B9" s="755"/>
      <c r="C9" s="755"/>
      <c r="D9" s="755"/>
      <c r="E9" s="755"/>
      <c r="F9" s="755"/>
      <c r="G9" s="755"/>
      <c r="H9" s="755"/>
      <c r="I9" s="755"/>
      <c r="J9" s="755"/>
      <c r="K9" s="755"/>
      <c r="L9" s="755"/>
      <c r="M9" s="755"/>
      <c r="N9" s="755"/>
      <c r="O9" s="755"/>
    </row>
    <row r="10" spans="1:21" ht="13.15" customHeight="1">
      <c r="A10" s="756"/>
      <c r="B10" s="756"/>
      <c r="C10" s="756"/>
      <c r="D10" s="756"/>
      <c r="E10" s="756"/>
      <c r="F10" s="756"/>
      <c r="G10" s="756"/>
      <c r="H10" s="756"/>
      <c r="I10" s="756"/>
      <c r="J10" s="756"/>
      <c r="K10" s="756"/>
      <c r="L10" s="756"/>
      <c r="M10" s="756"/>
      <c r="N10" s="756"/>
      <c r="O10" s="756"/>
    </row>
    <row r="11" spans="1:21" ht="13.15" customHeight="1">
      <c r="A11" s="756" t="s">
        <v>27</v>
      </c>
      <c r="B11" s="756"/>
      <c r="C11" s="756"/>
      <c r="D11" s="756"/>
      <c r="E11" s="756"/>
      <c r="F11" s="756"/>
      <c r="G11" s="756"/>
      <c r="H11" s="756"/>
      <c r="I11" s="756"/>
      <c r="J11" s="756"/>
      <c r="K11" s="756"/>
      <c r="L11" s="756"/>
      <c r="M11" s="756"/>
      <c r="N11" s="756"/>
      <c r="O11" s="756"/>
    </row>
    <row r="12" spans="1:21" ht="13.15" customHeight="1">
      <c r="A12" s="757" t="s">
        <v>122</v>
      </c>
      <c r="B12" s="757"/>
      <c r="C12" s="757"/>
      <c r="D12" s="757"/>
      <c r="E12" s="757"/>
      <c r="F12" s="757"/>
      <c r="G12" s="757"/>
      <c r="H12" s="757"/>
      <c r="I12" s="757"/>
      <c r="J12" s="757"/>
      <c r="K12" s="757"/>
      <c r="L12" s="757"/>
      <c r="M12" s="757"/>
      <c r="N12" s="758">
        <f>'FSUP-I'!J25</f>
        <v>1013936.1168</v>
      </c>
      <c r="O12" s="758"/>
    </row>
    <row r="13" spans="1:21" ht="12" customHeight="1">
      <c r="A13" s="757" t="s">
        <v>123</v>
      </c>
      <c r="B13" s="757"/>
      <c r="C13" s="757"/>
      <c r="D13" s="757"/>
      <c r="E13" s="757"/>
      <c r="F13" s="757"/>
      <c r="G13" s="757"/>
      <c r="H13" s="757"/>
      <c r="I13" s="757"/>
      <c r="J13" s="757"/>
      <c r="K13" s="757"/>
      <c r="L13" s="757"/>
      <c r="M13" s="757"/>
      <c r="N13" s="758">
        <v>0</v>
      </c>
      <c r="O13" s="758"/>
    </row>
    <row r="14" spans="1:21" ht="13.15" customHeight="1">
      <c r="A14" s="759" t="s">
        <v>124</v>
      </c>
      <c r="B14" s="759"/>
      <c r="C14" s="759"/>
      <c r="D14" s="759"/>
      <c r="E14" s="759"/>
      <c r="F14" s="759"/>
      <c r="G14" s="759"/>
      <c r="H14" s="759"/>
      <c r="I14" s="759"/>
      <c r="J14" s="759"/>
      <c r="K14" s="759"/>
      <c r="L14" s="759"/>
      <c r="M14" s="759"/>
      <c r="N14" s="760">
        <f>SUM(N12:O13)</f>
        <v>1013936.1168</v>
      </c>
      <c r="O14" s="760"/>
    </row>
    <row r="15" spans="1:21" ht="13.15" customHeight="1">
      <c r="A15" s="757" t="s">
        <v>125</v>
      </c>
      <c r="B15" s="757"/>
      <c r="C15" s="757"/>
      <c r="D15" s="757"/>
      <c r="E15" s="757"/>
      <c r="F15" s="757"/>
      <c r="G15" s="757"/>
      <c r="H15" s="757"/>
      <c r="I15" s="757"/>
      <c r="J15" s="757"/>
      <c r="K15" s="757"/>
      <c r="L15" s="757"/>
      <c r="M15" s="757"/>
      <c r="N15" s="758">
        <f>'FSUP-I'!K25</f>
        <v>903457.51057158702</v>
      </c>
      <c r="O15" s="758"/>
    </row>
    <row r="16" spans="1:21" s="544" customFormat="1" ht="13.15" customHeight="1">
      <c r="A16" s="759" t="s">
        <v>126</v>
      </c>
      <c r="B16" s="759"/>
      <c r="C16" s="759"/>
      <c r="D16" s="759"/>
      <c r="E16" s="759"/>
      <c r="F16" s="759"/>
      <c r="G16" s="759"/>
      <c r="H16" s="759"/>
      <c r="I16" s="759"/>
      <c r="J16" s="759"/>
      <c r="K16" s="759"/>
      <c r="L16" s="759"/>
      <c r="M16" s="759"/>
      <c r="N16" s="760">
        <f>SUM(N15:O15)</f>
        <v>903457.51057158702</v>
      </c>
      <c r="O16" s="760"/>
    </row>
    <row r="17" spans="1:20" ht="13.15" customHeight="1">
      <c r="A17" s="757" t="s">
        <v>127</v>
      </c>
      <c r="B17" s="757"/>
      <c r="C17" s="757"/>
      <c r="D17" s="757"/>
      <c r="E17" s="757"/>
      <c r="F17" s="757"/>
      <c r="G17" s="757"/>
      <c r="H17" s="757"/>
      <c r="I17" s="757"/>
      <c r="J17" s="757"/>
      <c r="K17" s="757"/>
      <c r="L17" s="757"/>
      <c r="M17" s="757"/>
      <c r="N17" s="758">
        <v>0</v>
      </c>
      <c r="O17" s="758"/>
    </row>
    <row r="18" spans="1:20" ht="13.15" customHeight="1">
      <c r="A18" s="757" t="s">
        <v>128</v>
      </c>
      <c r="B18" s="757"/>
      <c r="C18" s="757"/>
      <c r="D18" s="757"/>
      <c r="E18" s="757"/>
      <c r="F18" s="757"/>
      <c r="G18" s="757"/>
      <c r="H18" s="757"/>
      <c r="I18" s="757"/>
      <c r="J18" s="757"/>
      <c r="K18" s="757"/>
      <c r="L18" s="757"/>
      <c r="M18" s="757"/>
      <c r="N18" s="758">
        <f>'FSUP-II'!K25</f>
        <v>549612</v>
      </c>
      <c r="O18" s="758"/>
    </row>
    <row r="19" spans="1:20" s="544" customFormat="1" ht="13.15" customHeight="1">
      <c r="A19" s="759" t="s">
        <v>129</v>
      </c>
      <c r="B19" s="759"/>
      <c r="C19" s="759"/>
      <c r="D19" s="759"/>
      <c r="E19" s="759"/>
      <c r="F19" s="759"/>
      <c r="G19" s="759"/>
      <c r="H19" s="759"/>
      <c r="I19" s="759"/>
      <c r="J19" s="759"/>
      <c r="K19" s="759"/>
      <c r="L19" s="759"/>
      <c r="M19" s="759"/>
      <c r="N19" s="760">
        <f>SUM(N17:O18)</f>
        <v>549612</v>
      </c>
      <c r="O19" s="760"/>
    </row>
    <row r="20" spans="1:20" ht="13.15" customHeight="1">
      <c r="A20" s="756"/>
      <c r="B20" s="756"/>
      <c r="C20" s="756"/>
      <c r="D20" s="756"/>
      <c r="E20" s="756"/>
      <c r="F20" s="756"/>
      <c r="G20" s="756"/>
      <c r="H20" s="756"/>
      <c r="I20" s="756"/>
      <c r="J20" s="756"/>
      <c r="K20" s="756"/>
      <c r="L20" s="756"/>
      <c r="M20" s="756"/>
      <c r="N20" s="756"/>
      <c r="O20" s="756"/>
    </row>
    <row r="21" spans="1:20" ht="13.15" customHeight="1">
      <c r="A21" s="756" t="s">
        <v>68</v>
      </c>
      <c r="B21" s="756"/>
      <c r="C21" s="756"/>
      <c r="D21" s="756"/>
      <c r="E21" s="756"/>
      <c r="F21" s="756"/>
      <c r="G21" s="756"/>
      <c r="H21" s="756"/>
      <c r="I21" s="756"/>
      <c r="J21" s="756"/>
      <c r="K21" s="756"/>
      <c r="L21" s="756"/>
      <c r="M21" s="756"/>
      <c r="N21" s="756"/>
      <c r="O21" s="756"/>
    </row>
    <row r="22" spans="1:20" ht="13.15" customHeight="1">
      <c r="A22" s="757" t="s">
        <v>130</v>
      </c>
      <c r="B22" s="757"/>
      <c r="C22" s="757"/>
      <c r="D22" s="757"/>
      <c r="E22" s="757"/>
      <c r="F22" s="757"/>
      <c r="G22" s="757"/>
      <c r="H22" s="757"/>
      <c r="I22" s="757"/>
      <c r="J22" s="757"/>
      <c r="K22" s="757"/>
      <c r="L22" s="757"/>
      <c r="M22" s="757"/>
      <c r="N22" s="758">
        <f>'FSUP-III'!I21</f>
        <v>615736.08000000007</v>
      </c>
      <c r="O22" s="758"/>
    </row>
    <row r="23" spans="1:20" ht="13.15" customHeight="1">
      <c r="A23" s="757" t="s">
        <v>131</v>
      </c>
      <c r="B23" s="757"/>
      <c r="C23" s="757"/>
      <c r="D23" s="757"/>
      <c r="E23" s="757"/>
      <c r="F23" s="757"/>
      <c r="G23" s="757"/>
      <c r="H23" s="757"/>
      <c r="I23" s="757"/>
      <c r="J23" s="757"/>
      <c r="K23" s="757"/>
      <c r="L23" s="757"/>
      <c r="M23" s="757"/>
      <c r="N23" s="758">
        <f>'FSUP-III'!I29</f>
        <v>372597.12000000005</v>
      </c>
      <c r="O23" s="758"/>
    </row>
    <row r="24" spans="1:20" s="544" customFormat="1" ht="13.15" customHeight="1">
      <c r="A24" s="759" t="s">
        <v>132</v>
      </c>
      <c r="B24" s="759"/>
      <c r="C24" s="759"/>
      <c r="D24" s="759"/>
      <c r="E24" s="759"/>
      <c r="F24" s="759"/>
      <c r="G24" s="759"/>
      <c r="H24" s="759"/>
      <c r="I24" s="759"/>
      <c r="J24" s="759"/>
      <c r="K24" s="759"/>
      <c r="L24" s="759"/>
      <c r="M24" s="759"/>
      <c r="N24" s="760">
        <f>SUM(N22:O23)</f>
        <v>988333.20000000019</v>
      </c>
      <c r="O24" s="760"/>
      <c r="Q24" s="161"/>
    </row>
    <row r="25" spans="1:20" ht="13.15" customHeight="1">
      <c r="A25" s="761" t="s">
        <v>133</v>
      </c>
      <c r="B25" s="761"/>
      <c r="C25" s="761"/>
      <c r="D25" s="761"/>
      <c r="E25" s="761"/>
      <c r="F25" s="761"/>
      <c r="G25" s="761"/>
      <c r="H25" s="761"/>
      <c r="I25" s="761"/>
      <c r="J25" s="761"/>
      <c r="K25" s="761"/>
      <c r="L25" s="761"/>
      <c r="M25" s="761"/>
      <c r="N25" s="762">
        <f>N24+N19+N16+N14</f>
        <v>3455338.827371587</v>
      </c>
      <c r="O25" s="762"/>
      <c r="P25" s="557"/>
    </row>
    <row r="26" spans="1:20" ht="13.15" customHeight="1">
      <c r="A26" s="756"/>
      <c r="B26" s="756"/>
      <c r="C26" s="756"/>
      <c r="D26" s="756"/>
      <c r="E26" s="756"/>
      <c r="F26" s="756"/>
      <c r="G26" s="756"/>
      <c r="H26" s="756"/>
      <c r="I26" s="756"/>
      <c r="J26" s="756"/>
      <c r="K26" s="756"/>
      <c r="L26" s="756"/>
      <c r="M26" s="756"/>
      <c r="N26" s="756"/>
      <c r="O26" s="756"/>
    </row>
    <row r="27" spans="1:20" ht="13.15" customHeight="1">
      <c r="A27" s="756" t="s">
        <v>134</v>
      </c>
      <c r="B27" s="756"/>
      <c r="C27" s="756"/>
      <c r="D27" s="756"/>
      <c r="E27" s="756"/>
      <c r="F27" s="756"/>
      <c r="G27" s="756"/>
      <c r="H27" s="756"/>
      <c r="I27" s="756"/>
      <c r="J27" s="756"/>
      <c r="K27" s="756"/>
      <c r="L27" s="756"/>
      <c r="M27" s="756"/>
      <c r="N27" s="756"/>
      <c r="O27" s="756"/>
    </row>
    <row r="28" spans="1:20" ht="13.15" customHeight="1">
      <c r="A28" s="757" t="s">
        <v>135</v>
      </c>
      <c r="B28" s="757"/>
      <c r="C28" s="757"/>
      <c r="D28" s="757"/>
      <c r="E28" s="757"/>
      <c r="F28" s="757"/>
      <c r="G28" s="757"/>
      <c r="H28" s="757"/>
      <c r="I28" s="757"/>
      <c r="J28" s="757"/>
      <c r="K28" s="757"/>
      <c r="L28" s="757"/>
      <c r="M28" s="757"/>
      <c r="N28" s="758">
        <f>N25*0.1</f>
        <v>345533.88273715874</v>
      </c>
      <c r="O28" s="758"/>
      <c r="Q28" s="161" t="s">
        <v>136</v>
      </c>
      <c r="T28" s="563">
        <f>N28/$N$43</f>
        <v>6.8984547380907646E-2</v>
      </c>
    </row>
    <row r="29" spans="1:20" ht="13.15" customHeight="1">
      <c r="A29" s="757" t="s">
        <v>137</v>
      </c>
      <c r="B29" s="757"/>
      <c r="C29" s="757"/>
      <c r="D29" s="757"/>
      <c r="E29" s="757"/>
      <c r="F29" s="757"/>
      <c r="G29" s="757"/>
      <c r="H29" s="757"/>
      <c r="I29" s="757"/>
      <c r="J29" s="757"/>
      <c r="K29" s="757"/>
      <c r="L29" s="757"/>
      <c r="M29" s="757"/>
      <c r="N29" s="758">
        <f>N25*1.44/100</f>
        <v>49756.879114150855</v>
      </c>
      <c r="O29" s="758"/>
      <c r="Q29" s="161" t="s">
        <v>136</v>
      </c>
      <c r="T29" s="563">
        <f t="shared" ref="T29:T41" si="0">N29/$N$43</f>
        <v>9.9337748228507002E-3</v>
      </c>
    </row>
    <row r="30" spans="1:20" ht="13.15" customHeight="1">
      <c r="A30" s="757" t="s">
        <v>138</v>
      </c>
      <c r="B30" s="757"/>
      <c r="C30" s="757"/>
      <c r="D30" s="757"/>
      <c r="E30" s="757"/>
      <c r="F30" s="757"/>
      <c r="G30" s="757"/>
      <c r="H30" s="757"/>
      <c r="I30" s="757"/>
      <c r="J30" s="757"/>
      <c r="K30" s="757"/>
      <c r="L30" s="757"/>
      <c r="M30" s="757"/>
      <c r="N30" s="758">
        <f>0.72/100*N25</f>
        <v>24878.439557075428</v>
      </c>
      <c r="O30" s="758"/>
      <c r="Q30" s="161" t="s">
        <v>136</v>
      </c>
      <c r="T30" s="563">
        <f t="shared" si="0"/>
        <v>4.9668874114253501E-3</v>
      </c>
    </row>
    <row r="31" spans="1:20" ht="13.15" customHeight="1">
      <c r="A31" s="757" t="s">
        <v>139</v>
      </c>
      <c r="B31" s="757"/>
      <c r="C31" s="757"/>
      <c r="D31" s="757"/>
      <c r="E31" s="757"/>
      <c r="F31" s="757"/>
      <c r="G31" s="757"/>
      <c r="H31" s="757"/>
      <c r="I31" s="757"/>
      <c r="J31" s="757"/>
      <c r="K31" s="757"/>
      <c r="L31" s="757"/>
      <c r="M31" s="757"/>
      <c r="N31" s="758">
        <f>N25*0.14/100</f>
        <v>4837.4743583202226</v>
      </c>
      <c r="O31" s="758"/>
      <c r="Q31" s="161" t="s">
        <v>136</v>
      </c>
      <c r="T31" s="563">
        <f t="shared" si="0"/>
        <v>9.6578366333270713E-4</v>
      </c>
    </row>
    <row r="32" spans="1:20" ht="13.15" customHeight="1">
      <c r="A32" s="761" t="s">
        <v>140</v>
      </c>
      <c r="B32" s="761"/>
      <c r="C32" s="761"/>
      <c r="D32" s="761"/>
      <c r="E32" s="761"/>
      <c r="F32" s="761"/>
      <c r="G32" s="761"/>
      <c r="H32" s="761"/>
      <c r="I32" s="761"/>
      <c r="J32" s="761"/>
      <c r="K32" s="761"/>
      <c r="L32" s="761"/>
      <c r="M32" s="761"/>
      <c r="N32" s="760">
        <f>ROUND(SUM(N28:O31),2)</f>
        <v>425006.68</v>
      </c>
      <c r="O32" s="760"/>
      <c r="Q32" s="161" t="s">
        <v>136</v>
      </c>
      <c r="T32" s="563">
        <f t="shared" si="0"/>
        <v>8.4850994123677873E-2</v>
      </c>
    </row>
    <row r="33" spans="1:20" ht="13.15" customHeight="1">
      <c r="A33" s="756"/>
      <c r="B33" s="756"/>
      <c r="C33" s="756"/>
      <c r="D33" s="756"/>
      <c r="E33" s="756"/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T33" s="563"/>
    </row>
    <row r="34" spans="1:20" ht="13.15" customHeight="1">
      <c r="A34" s="756" t="s">
        <v>141</v>
      </c>
      <c r="B34" s="756"/>
      <c r="C34" s="756"/>
      <c r="D34" s="756"/>
      <c r="E34" s="756"/>
      <c r="F34" s="756"/>
      <c r="G34" s="756"/>
      <c r="H34" s="756"/>
      <c r="I34" s="756"/>
      <c r="J34" s="756"/>
      <c r="K34" s="756"/>
      <c r="L34" s="756"/>
      <c r="M34" s="756"/>
      <c r="N34" s="756"/>
      <c r="O34" s="756"/>
      <c r="T34" s="563"/>
    </row>
    <row r="35" spans="1:20" ht="13.15" customHeight="1">
      <c r="A35" s="757" t="s">
        <v>142</v>
      </c>
      <c r="B35" s="757"/>
      <c r="C35" s="757"/>
      <c r="D35" s="757"/>
      <c r="E35" s="757"/>
      <c r="F35" s="757"/>
      <c r="G35" s="757"/>
      <c r="H35" s="757"/>
      <c r="I35" s="757"/>
      <c r="J35" s="757"/>
      <c r="K35" s="757"/>
      <c r="L35" s="757"/>
      <c r="M35" s="757"/>
      <c r="N35" s="760">
        <f>ROUND(N25*0.12,2)</f>
        <v>414640.66</v>
      </c>
      <c r="O35" s="760"/>
      <c r="Q35" s="161" t="s">
        <v>136</v>
      </c>
      <c r="T35" s="563">
        <f t="shared" si="0"/>
        <v>8.2781456999917999E-2</v>
      </c>
    </row>
    <row r="36" spans="1:20" ht="13.15" customHeight="1">
      <c r="A36" s="756"/>
      <c r="B36" s="756"/>
      <c r="C36" s="756"/>
      <c r="D36" s="756"/>
      <c r="E36" s="756"/>
      <c r="F36" s="756"/>
      <c r="G36" s="756"/>
      <c r="H36" s="756"/>
      <c r="I36" s="756"/>
      <c r="J36" s="756"/>
      <c r="K36" s="756"/>
      <c r="L36" s="756"/>
      <c r="M36" s="756"/>
      <c r="N36" s="756"/>
      <c r="O36" s="756"/>
      <c r="R36" s="557"/>
      <c r="T36" s="563"/>
    </row>
    <row r="37" spans="1:20" ht="13.15" customHeight="1">
      <c r="A37" s="756" t="s">
        <v>143</v>
      </c>
      <c r="B37" s="756"/>
      <c r="C37" s="756"/>
      <c r="D37" s="756"/>
      <c r="E37" s="756"/>
      <c r="F37" s="756"/>
      <c r="G37" s="756"/>
      <c r="H37" s="756"/>
      <c r="I37" s="756"/>
      <c r="J37" s="756"/>
      <c r="K37" s="756"/>
      <c r="L37" s="756"/>
      <c r="M37" s="756"/>
      <c r="N37" s="756"/>
      <c r="O37" s="756"/>
      <c r="Q37" s="564"/>
      <c r="R37" s="565"/>
      <c r="T37" s="563"/>
    </row>
    <row r="38" spans="1:20" ht="13.15" customHeight="1">
      <c r="A38" s="757" t="s">
        <v>144</v>
      </c>
      <c r="B38" s="757"/>
      <c r="C38" s="757"/>
      <c r="D38" s="757"/>
      <c r="E38" s="757"/>
      <c r="F38" s="757"/>
      <c r="G38" s="757"/>
      <c r="H38" s="757"/>
      <c r="I38" s="757"/>
      <c r="J38" s="757"/>
      <c r="K38" s="757"/>
      <c r="L38" s="757"/>
      <c r="M38" s="757"/>
      <c r="N38" s="758">
        <f>$N$25*2.39/100</f>
        <v>82582.597974180928</v>
      </c>
      <c r="O38" s="758"/>
      <c r="Q38" s="161" t="s">
        <v>136</v>
      </c>
      <c r="T38" s="563">
        <f t="shared" si="0"/>
        <v>1.6487306824036926E-2</v>
      </c>
    </row>
    <row r="39" spans="1:20" ht="13.15" customHeight="1">
      <c r="A39" s="757" t="s">
        <v>145</v>
      </c>
      <c r="B39" s="757"/>
      <c r="C39" s="757"/>
      <c r="D39" s="757"/>
      <c r="E39" s="757"/>
      <c r="F39" s="757"/>
      <c r="G39" s="757"/>
      <c r="H39" s="757"/>
      <c r="I39" s="757"/>
      <c r="J39" s="757"/>
      <c r="K39" s="757"/>
      <c r="L39" s="757"/>
      <c r="M39" s="757"/>
      <c r="N39" s="758">
        <f>$N$25*11.02/100</f>
        <v>380778.33877634892</v>
      </c>
      <c r="O39" s="758"/>
      <c r="Q39" s="161" t="s">
        <v>136</v>
      </c>
      <c r="T39" s="563">
        <f t="shared" si="0"/>
        <v>7.6020971213760224E-2</v>
      </c>
    </row>
    <row r="40" spans="1:20" ht="13.15" customHeight="1">
      <c r="A40" s="757" t="s">
        <v>146</v>
      </c>
      <c r="B40" s="757"/>
      <c r="C40" s="757"/>
      <c r="D40" s="757"/>
      <c r="E40" s="757"/>
      <c r="F40" s="757"/>
      <c r="G40" s="757"/>
      <c r="H40" s="757"/>
      <c r="I40" s="757"/>
      <c r="J40" s="757"/>
      <c r="K40" s="757"/>
      <c r="L40" s="757"/>
      <c r="M40" s="757"/>
      <c r="N40" s="758">
        <f>$N$25*7.25/100</f>
        <v>250512.06498444005</v>
      </c>
      <c r="O40" s="758"/>
      <c r="Q40" s="161" t="s">
        <v>136</v>
      </c>
      <c r="T40" s="563">
        <f t="shared" si="0"/>
        <v>5.0013796851158032E-2</v>
      </c>
    </row>
    <row r="41" spans="1:20" ht="13.15" customHeight="1">
      <c r="A41" s="761" t="s">
        <v>147</v>
      </c>
      <c r="B41" s="761"/>
      <c r="C41" s="761"/>
      <c r="D41" s="761"/>
      <c r="E41" s="761"/>
      <c r="F41" s="761"/>
      <c r="G41" s="761"/>
      <c r="H41" s="761"/>
      <c r="I41" s="761"/>
      <c r="J41" s="761"/>
      <c r="K41" s="761"/>
      <c r="L41" s="761"/>
      <c r="M41" s="761"/>
      <c r="N41" s="760">
        <f>ROUND(SUM(N38:O40),2)</f>
        <v>713873</v>
      </c>
      <c r="O41" s="760"/>
      <c r="Q41" s="564"/>
      <c r="R41" s="563"/>
      <c r="S41" s="563"/>
      <c r="T41" s="563">
        <f t="shared" si="0"/>
        <v>0.14252207454257493</v>
      </c>
    </row>
    <row r="42" spans="1:20" ht="13.15" customHeight="1">
      <c r="A42" s="763"/>
      <c r="B42" s="764"/>
      <c r="C42" s="764"/>
      <c r="D42" s="764"/>
      <c r="E42" s="764"/>
      <c r="F42" s="764"/>
      <c r="G42" s="764"/>
      <c r="H42" s="764"/>
      <c r="I42" s="764"/>
      <c r="J42" s="764"/>
      <c r="K42" s="764"/>
      <c r="L42" s="764"/>
      <c r="M42" s="765"/>
      <c r="N42" s="766"/>
      <c r="O42" s="766"/>
    </row>
    <row r="43" spans="1:20" s="545" customFormat="1" ht="19.899999999999999" customHeight="1">
      <c r="A43" s="767" t="s">
        <v>148</v>
      </c>
      <c r="B43" s="767"/>
      <c r="C43" s="767"/>
      <c r="D43" s="767"/>
      <c r="E43" s="767"/>
      <c r="F43" s="767"/>
      <c r="G43" s="767"/>
      <c r="H43" s="767"/>
      <c r="I43" s="767"/>
      <c r="J43" s="767"/>
      <c r="K43" s="767"/>
      <c r="L43" s="767"/>
      <c r="M43" s="767"/>
      <c r="N43" s="768">
        <f>ROUND((N25+N32+N35+N41),2)</f>
        <v>5008859.17</v>
      </c>
      <c r="O43" s="768"/>
      <c r="Q43" s="566"/>
      <c r="R43" s="567"/>
      <c r="S43" s="567"/>
    </row>
    <row r="44" spans="1:20" s="545" customFormat="1" ht="19.899999999999999" customHeight="1">
      <c r="A44" s="769" t="s">
        <v>149</v>
      </c>
      <c r="B44" s="769"/>
      <c r="C44" s="769"/>
      <c r="D44" s="769"/>
      <c r="E44" s="769"/>
      <c r="F44" s="769"/>
      <c r="G44" s="769"/>
      <c r="H44" s="769"/>
      <c r="I44" s="769"/>
      <c r="J44" s="769"/>
      <c r="K44" s="769"/>
      <c r="L44" s="769"/>
      <c r="M44" s="769"/>
      <c r="N44" s="770">
        <f>ROUND(N43/T7,2)</f>
        <v>417404.93</v>
      </c>
      <c r="O44" s="770"/>
      <c r="Q44" s="567">
        <f>N44*6</f>
        <v>2504429.58</v>
      </c>
    </row>
    <row r="45" spans="1:20" ht="13.15" customHeight="1">
      <c r="A45" s="771" t="s">
        <v>150</v>
      </c>
      <c r="B45" s="771"/>
      <c r="C45" s="771"/>
      <c r="D45" s="771"/>
      <c r="E45" s="771"/>
      <c r="F45" s="771"/>
      <c r="G45" s="771"/>
      <c r="H45" s="771"/>
      <c r="I45" s="771"/>
      <c r="J45" s="772" t="s">
        <v>151</v>
      </c>
      <c r="K45" s="772"/>
      <c r="L45" s="772"/>
      <c r="M45" s="772"/>
      <c r="N45" s="772"/>
      <c r="O45" s="772"/>
    </row>
    <row r="46" spans="1:20" ht="13.15" customHeight="1">
      <c r="A46" s="773" t="s">
        <v>152</v>
      </c>
      <c r="B46" s="773"/>
      <c r="C46" s="773"/>
      <c r="D46" s="773"/>
      <c r="E46" s="773"/>
      <c r="F46" s="773"/>
      <c r="G46" s="773"/>
      <c r="H46" s="773"/>
      <c r="I46" s="773"/>
      <c r="J46" s="774" t="s">
        <v>153</v>
      </c>
      <c r="K46" s="775"/>
      <c r="L46" s="775"/>
      <c r="M46" s="775"/>
      <c r="N46" s="775"/>
      <c r="O46" s="776"/>
    </row>
    <row r="47" spans="1:20" ht="13.15" customHeight="1">
      <c r="A47" s="777" t="s">
        <v>154</v>
      </c>
      <c r="B47" s="777"/>
      <c r="C47" s="777"/>
      <c r="D47" s="777"/>
      <c r="E47" s="777"/>
      <c r="F47" s="777"/>
      <c r="G47" s="777"/>
      <c r="H47" s="777"/>
      <c r="I47" s="777"/>
      <c r="J47" s="777"/>
      <c r="K47" s="777"/>
      <c r="L47" s="777"/>
      <c r="M47" s="777"/>
      <c r="N47" s="778" t="s">
        <v>155</v>
      </c>
      <c r="O47" s="778"/>
    </row>
    <row r="48" spans="1:20" ht="13.15" customHeight="1">
      <c r="A48" s="779"/>
      <c r="B48" s="779"/>
      <c r="C48" s="779"/>
      <c r="D48" s="779"/>
      <c r="E48" s="779"/>
      <c r="F48" s="779"/>
      <c r="G48" s="779"/>
      <c r="H48" s="779"/>
      <c r="I48" s="779"/>
      <c r="J48" s="779"/>
      <c r="K48" s="779"/>
      <c r="L48" s="779"/>
      <c r="M48" s="779"/>
      <c r="N48" s="780">
        <v>44893</v>
      </c>
      <c r="O48" s="781"/>
    </row>
    <row r="49" spans="1:16" s="546" customFormat="1" ht="13.15" customHeight="1">
      <c r="A49" s="548" t="s">
        <v>156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58"/>
      <c r="O49" s="559"/>
    </row>
    <row r="50" spans="1:16" s="547" customFormat="1" ht="13.15" customHeight="1">
      <c r="A50" s="550" t="s">
        <v>157</v>
      </c>
      <c r="B50" s="551"/>
      <c r="C50" s="551"/>
      <c r="D50" s="551"/>
      <c r="E50" s="551"/>
      <c r="F50" s="551"/>
      <c r="G50" s="551"/>
      <c r="H50" s="551"/>
      <c r="I50" s="551"/>
      <c r="J50" s="551"/>
      <c r="K50" s="551"/>
      <c r="L50" s="551"/>
      <c r="M50" s="551"/>
      <c r="N50" s="551"/>
      <c r="O50" s="560"/>
    </row>
    <row r="51" spans="1:16" s="547" customFormat="1" ht="13.15" customHeight="1">
      <c r="A51" s="782" t="s">
        <v>158</v>
      </c>
      <c r="B51" s="782"/>
      <c r="C51" s="782"/>
      <c r="D51" s="782"/>
      <c r="E51" s="782"/>
      <c r="F51" s="782"/>
      <c r="G51" s="782"/>
      <c r="H51" s="782"/>
      <c r="I51" s="782"/>
      <c r="J51" s="782"/>
      <c r="K51" s="782"/>
      <c r="L51" s="782"/>
      <c r="M51" s="782"/>
      <c r="N51" s="782"/>
      <c r="O51" s="782"/>
    </row>
    <row r="52" spans="1:16" s="547" customFormat="1" ht="13.15" customHeight="1">
      <c r="A52" s="552" t="s">
        <v>159</v>
      </c>
      <c r="B52" s="553"/>
      <c r="C52" s="553"/>
      <c r="D52" s="553"/>
      <c r="E52" s="553"/>
      <c r="F52" s="553"/>
      <c r="G52" s="553"/>
      <c r="H52" s="553"/>
      <c r="I52" s="553"/>
      <c r="J52" s="553"/>
      <c r="K52" s="553"/>
      <c r="L52" s="553"/>
      <c r="M52" s="553"/>
      <c r="N52" s="553"/>
      <c r="O52" s="561"/>
    </row>
    <row r="53" spans="1:16" s="547" customFormat="1" ht="13.15" customHeight="1">
      <c r="A53" s="782" t="s">
        <v>160</v>
      </c>
      <c r="B53" s="782"/>
      <c r="C53" s="782"/>
      <c r="D53" s="782"/>
      <c r="E53" s="782"/>
      <c r="F53" s="782"/>
      <c r="G53" s="782"/>
      <c r="H53" s="782"/>
      <c r="I53" s="782"/>
      <c r="J53" s="782"/>
      <c r="K53" s="782"/>
      <c r="L53" s="782"/>
      <c r="M53" s="782"/>
      <c r="N53" s="782"/>
      <c r="O53" s="782"/>
    </row>
    <row r="54" spans="1:16" ht="13.15" customHeight="1">
      <c r="A54" s="554"/>
      <c r="B54" s="555"/>
      <c r="C54" s="555"/>
      <c r="D54" s="555"/>
      <c r="E54" s="555"/>
      <c r="F54" s="555"/>
      <c r="G54" s="555"/>
      <c r="H54" s="555"/>
      <c r="I54" s="555"/>
      <c r="J54" s="555"/>
      <c r="K54" s="555"/>
      <c r="L54" s="555"/>
      <c r="M54" s="555"/>
      <c r="N54" s="555"/>
      <c r="O54" s="562"/>
    </row>
    <row r="57" spans="1:16">
      <c r="O57" s="557"/>
      <c r="P57" s="557"/>
    </row>
  </sheetData>
  <mergeCells count="78">
    <mergeCell ref="A51:O51"/>
    <mergeCell ref="A53:O53"/>
    <mergeCell ref="A5:M6"/>
    <mergeCell ref="A46:I46"/>
    <mergeCell ref="J46:O46"/>
    <mergeCell ref="A47:M47"/>
    <mergeCell ref="N47:O47"/>
    <mergeCell ref="A48:M48"/>
    <mergeCell ref="N48:O48"/>
    <mergeCell ref="A43:M43"/>
    <mergeCell ref="N43:O43"/>
    <mergeCell ref="A44:M44"/>
    <mergeCell ref="N44:O44"/>
    <mergeCell ref="A45:I45"/>
    <mergeCell ref="J45:O45"/>
    <mergeCell ref="A40:M40"/>
    <mergeCell ref="N40:O40"/>
    <mergeCell ref="A41:M41"/>
    <mergeCell ref="N41:O41"/>
    <mergeCell ref="A42:M42"/>
    <mergeCell ref="N42:O42"/>
    <mergeCell ref="A37:O37"/>
    <mergeCell ref="A38:M38"/>
    <mergeCell ref="N38:O38"/>
    <mergeCell ref="A39:M39"/>
    <mergeCell ref="N39:O39"/>
    <mergeCell ref="A33:O33"/>
    <mergeCell ref="A34:O34"/>
    <mergeCell ref="A35:M35"/>
    <mergeCell ref="N35:O35"/>
    <mergeCell ref="A36:O36"/>
    <mergeCell ref="A30:M30"/>
    <mergeCell ref="N30:O30"/>
    <mergeCell ref="A31:M31"/>
    <mergeCell ref="N31:O31"/>
    <mergeCell ref="A32:M32"/>
    <mergeCell ref="N32:O32"/>
    <mergeCell ref="A26:O26"/>
    <mergeCell ref="A27:O27"/>
    <mergeCell ref="A28:M28"/>
    <mergeCell ref="N28:O28"/>
    <mergeCell ref="A29:M29"/>
    <mergeCell ref="N29:O29"/>
    <mergeCell ref="A23:M23"/>
    <mergeCell ref="N23:O23"/>
    <mergeCell ref="A24:M24"/>
    <mergeCell ref="N24:O24"/>
    <mergeCell ref="A25:M25"/>
    <mergeCell ref="N25:O25"/>
    <mergeCell ref="A19:M19"/>
    <mergeCell ref="N19:O19"/>
    <mergeCell ref="A20:O20"/>
    <mergeCell ref="A21:O21"/>
    <mergeCell ref="A22:M22"/>
    <mergeCell ref="N22:O22"/>
    <mergeCell ref="A16:M16"/>
    <mergeCell ref="N16:O16"/>
    <mergeCell ref="A17:M17"/>
    <mergeCell ref="N17:O17"/>
    <mergeCell ref="A18:M18"/>
    <mergeCell ref="N18:O18"/>
    <mergeCell ref="A13:M13"/>
    <mergeCell ref="N13:O13"/>
    <mergeCell ref="A14:M14"/>
    <mergeCell ref="N14:O14"/>
    <mergeCell ref="A15:M15"/>
    <mergeCell ref="N15:O15"/>
    <mergeCell ref="A9:O9"/>
    <mergeCell ref="A10:O10"/>
    <mergeCell ref="A11:O11"/>
    <mergeCell ref="A12:M12"/>
    <mergeCell ref="N12:O12"/>
    <mergeCell ref="N5:O5"/>
    <mergeCell ref="N6:O6"/>
    <mergeCell ref="A7:M7"/>
    <mergeCell ref="N7:O7"/>
    <mergeCell ref="A8:M8"/>
    <mergeCell ref="N8:O8"/>
  </mergeCells>
  <printOptions horizontalCentered="1"/>
  <pageMargins left="0.78740157480314998" right="0.39370078740157499" top="0.78740157480314998" bottom="0.39370078740157499" header="0.511811023622047" footer="0.511811023622047"/>
  <pageSetup paperSize="9" scale="82" firstPageNumber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3"/>
  <sheetViews>
    <sheetView showGridLines="0" view="pageBreakPreview" zoomScaleNormal="130" workbookViewId="0">
      <selection activeCell="B18" sqref="B18"/>
    </sheetView>
  </sheetViews>
  <sheetFormatPr defaultColWidth="11.42578125" defaultRowHeight="15" customHeight="1"/>
  <cols>
    <col min="1" max="1" width="5" style="226" customWidth="1"/>
    <col min="2" max="2" width="8.140625" style="226" customWidth="1"/>
    <col min="3" max="3" width="7.7109375" style="226" customWidth="1"/>
    <col min="4" max="4" width="41.140625" style="439" customWidth="1"/>
    <col min="5" max="5" width="8.140625" style="439" customWidth="1"/>
    <col min="6" max="6" width="24.140625" style="438" customWidth="1"/>
    <col min="7" max="7" width="19.5703125" style="438" customWidth="1"/>
    <col min="8" max="8" width="20.5703125" style="438" customWidth="1"/>
    <col min="9" max="10" width="14.7109375" style="438" customWidth="1"/>
    <col min="11" max="11" width="14" style="438" customWidth="1"/>
    <col min="12" max="12" width="16.140625" style="438" customWidth="1"/>
    <col min="13" max="13" width="18.140625" style="327" customWidth="1"/>
    <col min="14" max="14" width="4.140625" style="329" customWidth="1"/>
    <col min="15" max="15" width="5.28515625" style="329" customWidth="1"/>
    <col min="16" max="16384" width="11.42578125" style="438"/>
  </cols>
  <sheetData>
    <row r="1" spans="1:15" s="161" customFormat="1" ht="11.25">
      <c r="D1" s="440" t="str">
        <f>FSUP!H1</f>
        <v>Ministério de Desenvolvimento Regional - MDR</v>
      </c>
      <c r="E1" s="440"/>
      <c r="M1" s="318"/>
      <c r="N1" s="505"/>
      <c r="O1" s="505"/>
    </row>
    <row r="2" spans="1:15" s="161" customFormat="1" ht="11.25">
      <c r="D2" s="440" t="str">
        <f>FSUP!H2</f>
        <v>Companhia de Desenvolvimento dos Vales do São Francisco e do Parnaíba</v>
      </c>
      <c r="E2" s="440"/>
      <c r="M2" s="318"/>
      <c r="N2" s="505"/>
      <c r="O2" s="505"/>
    </row>
    <row r="3" spans="1:15" s="161" customFormat="1" ht="11.25">
      <c r="D3" s="440" t="str">
        <f>FSUP!H3</f>
        <v>2ª Superintendência Regional da Codevasf</v>
      </c>
      <c r="E3" s="440"/>
      <c r="M3" s="318"/>
      <c r="N3" s="505"/>
      <c r="O3" s="505"/>
    </row>
    <row r="4" spans="1:15" s="161" customFormat="1" ht="11.25">
      <c r="M4" s="318"/>
      <c r="N4" s="505"/>
      <c r="O4" s="505"/>
    </row>
    <row r="5" spans="1:15" ht="11.25">
      <c r="A5" s="825" t="s">
        <v>161</v>
      </c>
      <c r="B5" s="826"/>
      <c r="C5" s="826"/>
      <c r="D5" s="826"/>
      <c r="E5" s="826"/>
      <c r="F5" s="826"/>
      <c r="G5" s="826"/>
      <c r="H5" s="826"/>
      <c r="I5" s="784" t="s">
        <v>116</v>
      </c>
      <c r="J5" s="785"/>
      <c r="K5" s="785"/>
      <c r="L5" s="786"/>
    </row>
    <row r="6" spans="1:15" ht="19.899999999999999" customHeight="1">
      <c r="A6" s="827"/>
      <c r="B6" s="828"/>
      <c r="C6" s="828"/>
      <c r="D6" s="828"/>
      <c r="E6" s="828"/>
      <c r="F6" s="828"/>
      <c r="G6" s="828"/>
      <c r="H6" s="828"/>
      <c r="I6" s="787" t="s">
        <v>162</v>
      </c>
      <c r="J6" s="788"/>
      <c r="K6" s="788"/>
      <c r="L6" s="789"/>
    </row>
    <row r="7" spans="1:15" ht="13.15" customHeight="1">
      <c r="A7" s="441" t="s">
        <v>163</v>
      </c>
      <c r="B7" s="442"/>
      <c r="C7" s="442"/>
      <c r="D7" s="442"/>
      <c r="E7" s="442"/>
      <c r="F7" s="442"/>
      <c r="G7" s="442"/>
      <c r="H7" s="442"/>
      <c r="I7" s="790" t="s">
        <v>119</v>
      </c>
      <c r="J7" s="791"/>
      <c r="K7" s="791"/>
      <c r="L7" s="792"/>
    </row>
    <row r="8" spans="1:15" ht="13.15" customHeight="1">
      <c r="A8" s="793" t="s">
        <v>120</v>
      </c>
      <c r="B8" s="794"/>
      <c r="C8" s="794"/>
      <c r="D8" s="794"/>
      <c r="E8" s="794"/>
      <c r="F8" s="794"/>
      <c r="G8" s="794"/>
      <c r="H8" s="794"/>
      <c r="I8" s="795"/>
      <c r="J8" s="796"/>
      <c r="K8" s="796"/>
      <c r="L8" s="797"/>
      <c r="M8" s="327" t="s">
        <v>16</v>
      </c>
      <c r="N8" s="506">
        <v>12</v>
      </c>
      <c r="O8" s="329" t="s">
        <v>17</v>
      </c>
    </row>
    <row r="9" spans="1:15" ht="13.15" customHeight="1">
      <c r="A9" s="798" t="s">
        <v>164</v>
      </c>
      <c r="B9" s="799"/>
      <c r="C9" s="799"/>
      <c r="D9" s="800"/>
      <c r="E9" s="800"/>
      <c r="F9" s="800" t="s">
        <v>165</v>
      </c>
      <c r="G9" s="800"/>
      <c r="H9" s="801"/>
      <c r="I9" s="823" t="s">
        <v>166</v>
      </c>
      <c r="J9" s="802" t="s">
        <v>167</v>
      </c>
      <c r="K9" s="803"/>
      <c r="L9" s="804"/>
    </row>
    <row r="10" spans="1:15" ht="13.15" customHeight="1">
      <c r="A10" s="443"/>
      <c r="B10" s="444"/>
      <c r="C10" s="445"/>
      <c r="D10" s="446"/>
      <c r="E10" s="446"/>
      <c r="F10" s="447"/>
      <c r="G10" s="447" t="s">
        <v>168</v>
      </c>
      <c r="I10" s="824"/>
      <c r="J10" s="508"/>
      <c r="K10" s="508"/>
      <c r="L10" s="509"/>
    </row>
    <row r="11" spans="1:15" ht="13.15" customHeight="1">
      <c r="A11" s="448" t="s">
        <v>169</v>
      </c>
      <c r="B11" s="449" t="s">
        <v>170</v>
      </c>
      <c r="C11" s="450" t="s">
        <v>171</v>
      </c>
      <c r="D11" s="445" t="s">
        <v>172</v>
      </c>
      <c r="E11" s="445" t="s">
        <v>66</v>
      </c>
      <c r="F11" s="447" t="s">
        <v>173</v>
      </c>
      <c r="G11" s="447" t="s">
        <v>174</v>
      </c>
      <c r="H11" s="451" t="s">
        <v>175</v>
      </c>
      <c r="I11" s="507" t="s">
        <v>176</v>
      </c>
      <c r="J11" s="510" t="s">
        <v>177</v>
      </c>
      <c r="K11" s="510" t="s">
        <v>178</v>
      </c>
      <c r="L11" s="511" t="s">
        <v>179</v>
      </c>
    </row>
    <row r="12" spans="1:15" ht="13.15" customHeight="1">
      <c r="A12" s="448"/>
      <c r="B12" s="452"/>
      <c r="C12" s="696" t="s">
        <v>180</v>
      </c>
      <c r="D12" s="697" t="s">
        <v>181</v>
      </c>
      <c r="E12" s="453" t="s">
        <v>182</v>
      </c>
      <c r="F12" s="698" t="s">
        <v>183</v>
      </c>
      <c r="G12" s="698" t="s">
        <v>184</v>
      </c>
      <c r="H12" s="699" t="s">
        <v>185</v>
      </c>
      <c r="I12" s="700" t="s">
        <v>186</v>
      </c>
      <c r="J12" s="701" t="s">
        <v>187</v>
      </c>
      <c r="K12" s="701" t="s">
        <v>188</v>
      </c>
      <c r="L12" s="702" t="s">
        <v>189</v>
      </c>
    </row>
    <row r="13" spans="1:15" ht="13.15" customHeight="1">
      <c r="A13" s="454">
        <v>1</v>
      </c>
      <c r="B13" s="455"/>
      <c r="C13" s="456"/>
      <c r="D13" s="457" t="s">
        <v>190</v>
      </c>
      <c r="E13" s="457"/>
      <c r="F13" s="458"/>
      <c r="G13" s="458"/>
      <c r="H13" s="459"/>
      <c r="I13" s="512"/>
      <c r="J13" s="513"/>
      <c r="K13" s="514"/>
      <c r="L13" s="515"/>
    </row>
    <row r="14" spans="1:15" ht="13.15" customHeight="1">
      <c r="A14" s="460" t="s">
        <v>28</v>
      </c>
      <c r="B14" s="461" t="s">
        <v>191</v>
      </c>
      <c r="C14" s="461" t="s">
        <v>31</v>
      </c>
      <c r="D14" s="385" t="s">
        <v>192</v>
      </c>
      <c r="E14" s="462" t="s">
        <v>193</v>
      </c>
      <c r="F14" s="463">
        <v>12193.5576</v>
      </c>
      <c r="G14" s="464">
        <v>0.82538900000000004</v>
      </c>
      <c r="H14" s="465">
        <f>F14+G14*F14</f>
        <v>22257.985913906399</v>
      </c>
      <c r="I14" s="516">
        <f>N14*$N$8</f>
        <v>48</v>
      </c>
      <c r="J14" s="517">
        <f>F14*I14</f>
        <v>585290.7648</v>
      </c>
      <c r="K14" s="518">
        <f>F14*G14*I14</f>
        <v>483092.55906750698</v>
      </c>
      <c r="L14" s="519">
        <f>H14*I14</f>
        <v>1068383.3238675101</v>
      </c>
      <c r="M14" s="327" t="s">
        <v>194</v>
      </c>
      <c r="N14" s="520">
        <v>4</v>
      </c>
    </row>
    <row r="15" spans="1:15" ht="13.15" customHeight="1">
      <c r="A15" s="460" t="s">
        <v>195</v>
      </c>
      <c r="B15" s="461" t="s">
        <v>191</v>
      </c>
      <c r="C15" s="466" t="s">
        <v>196</v>
      </c>
      <c r="D15" s="467" t="s">
        <v>197</v>
      </c>
      <c r="E15" s="462" t="s">
        <v>193</v>
      </c>
      <c r="F15" s="463">
        <v>3096.538</v>
      </c>
      <c r="G15" s="464">
        <v>0.95622399999999996</v>
      </c>
      <c r="H15" s="465">
        <f>F15+G15*F15</f>
        <v>6057.5219525120001</v>
      </c>
      <c r="I15" s="516">
        <f>N15*$N$8</f>
        <v>12</v>
      </c>
      <c r="J15" s="517">
        <f>F15*I15</f>
        <v>37158.455999999998</v>
      </c>
      <c r="K15" s="518">
        <f>F15*G15*I15</f>
        <v>35531.807430143999</v>
      </c>
      <c r="L15" s="519">
        <f>H15*I15</f>
        <v>72690.263430143998</v>
      </c>
      <c r="M15" s="327" t="s">
        <v>198</v>
      </c>
      <c r="N15" s="520">
        <v>1</v>
      </c>
    </row>
    <row r="16" spans="1:15" ht="13.15" customHeight="1">
      <c r="A16" s="454">
        <v>2</v>
      </c>
      <c r="B16" s="455"/>
      <c r="C16" s="456"/>
      <c r="D16" s="457" t="s">
        <v>199</v>
      </c>
      <c r="E16" s="468"/>
      <c r="F16" s="458"/>
      <c r="G16" s="458"/>
      <c r="H16" s="459"/>
      <c r="I16" s="512"/>
      <c r="J16" s="521"/>
      <c r="K16" s="521"/>
      <c r="L16" s="522"/>
      <c r="N16" s="520"/>
    </row>
    <row r="17" spans="1:15" ht="13.15" customHeight="1">
      <c r="A17" s="460" t="s">
        <v>69</v>
      </c>
      <c r="B17" s="461" t="s">
        <v>191</v>
      </c>
      <c r="C17" s="466" t="s">
        <v>43</v>
      </c>
      <c r="D17" s="385" t="s">
        <v>44</v>
      </c>
      <c r="E17" s="462" t="s">
        <v>193</v>
      </c>
      <c r="F17" s="463">
        <v>2649.828</v>
      </c>
      <c r="G17" s="464">
        <v>0.98745099999999997</v>
      </c>
      <c r="H17" s="465">
        <f>F17+G17*F17</f>
        <v>5266.4033084279999</v>
      </c>
      <c r="I17" s="516">
        <f>N17*$N$8</f>
        <v>12</v>
      </c>
      <c r="J17" s="517">
        <f>F17*I17</f>
        <v>31797.936000000002</v>
      </c>
      <c r="K17" s="518">
        <f>F17*G17*I17</f>
        <v>31398.903701136001</v>
      </c>
      <c r="L17" s="519">
        <f>H17*I17</f>
        <v>63196.839701135999</v>
      </c>
      <c r="M17" s="327" t="s">
        <v>200</v>
      </c>
      <c r="N17" s="520">
        <v>1</v>
      </c>
    </row>
    <row r="18" spans="1:15" ht="13.15" customHeight="1">
      <c r="A18" s="469" t="s">
        <v>86</v>
      </c>
      <c r="B18" s="470" t="s">
        <v>191</v>
      </c>
      <c r="C18" s="471" t="s">
        <v>201</v>
      </c>
      <c r="D18" s="472" t="s">
        <v>47</v>
      </c>
      <c r="E18" s="473" t="s">
        <v>193</v>
      </c>
      <c r="F18" s="474">
        <v>3825.8</v>
      </c>
      <c r="G18" s="475">
        <v>0.88980700000000001</v>
      </c>
      <c r="H18" s="476">
        <f t="shared" ref="H18:H23" si="0">F18+G18*F18</f>
        <v>7230.0236206</v>
      </c>
      <c r="I18" s="516">
        <f>N18*$N$8</f>
        <v>48</v>
      </c>
      <c r="J18" s="523">
        <f t="shared" ref="J18:J23" si="1">F18*I18</f>
        <v>183638.39999999999</v>
      </c>
      <c r="K18" s="524">
        <f t="shared" ref="K18:K23" si="2">F18*G18*I18</f>
        <v>163402.73378879999</v>
      </c>
      <c r="L18" s="525">
        <f t="shared" ref="L18:L23" si="3">H18*I18</f>
        <v>347041.13378879998</v>
      </c>
      <c r="M18" s="327" t="s">
        <v>202</v>
      </c>
      <c r="N18" s="520">
        <v>4</v>
      </c>
    </row>
    <row r="19" spans="1:15" ht="13.15" customHeight="1">
      <c r="A19" s="477" t="s">
        <v>203</v>
      </c>
      <c r="B19" s="478" t="s">
        <v>191</v>
      </c>
      <c r="C19" s="477" t="s">
        <v>204</v>
      </c>
      <c r="D19" s="479" t="s">
        <v>50</v>
      </c>
      <c r="E19" s="250" t="s">
        <v>193</v>
      </c>
      <c r="F19" s="480">
        <v>2035</v>
      </c>
      <c r="G19" s="481">
        <v>1.1313880000000001</v>
      </c>
      <c r="H19" s="482">
        <f t="shared" si="0"/>
        <v>4337.3745799999997</v>
      </c>
      <c r="I19" s="516">
        <f>N19*$N$8</f>
        <v>48</v>
      </c>
      <c r="J19" s="526">
        <f t="shared" si="1"/>
        <v>97680</v>
      </c>
      <c r="K19" s="482">
        <f t="shared" si="2"/>
        <v>110513.97984</v>
      </c>
      <c r="L19" s="482">
        <f t="shared" si="3"/>
        <v>208193.97984000001</v>
      </c>
      <c r="M19" s="327" t="s">
        <v>205</v>
      </c>
      <c r="N19" s="520">
        <v>4</v>
      </c>
    </row>
    <row r="20" spans="1:15" ht="13.15" customHeight="1">
      <c r="A20" s="483">
        <v>3</v>
      </c>
      <c r="B20" s="484"/>
      <c r="C20" s="485"/>
      <c r="D20" s="486" t="s">
        <v>206</v>
      </c>
      <c r="E20" s="487"/>
      <c r="F20" s="488"/>
      <c r="G20" s="488"/>
      <c r="H20" s="489"/>
      <c r="I20" s="527"/>
      <c r="J20" s="513"/>
      <c r="K20" s="513"/>
      <c r="L20" s="528"/>
      <c r="N20" s="529"/>
    </row>
    <row r="21" spans="1:15" ht="13.15" customHeight="1">
      <c r="A21" s="460" t="s">
        <v>207</v>
      </c>
      <c r="B21" s="461" t="s">
        <v>191</v>
      </c>
      <c r="C21" s="466" t="s">
        <v>208</v>
      </c>
      <c r="D21" s="385" t="s">
        <v>209</v>
      </c>
      <c r="E21" s="462" t="s">
        <v>193</v>
      </c>
      <c r="F21" s="490">
        <v>2255</v>
      </c>
      <c r="G21" s="464">
        <v>1.0979509999999999</v>
      </c>
      <c r="H21" s="465">
        <f t="shared" si="0"/>
        <v>4730.8795049999999</v>
      </c>
      <c r="I21" s="516">
        <f>N21*$N$8</f>
        <v>12</v>
      </c>
      <c r="J21" s="517">
        <f t="shared" si="1"/>
        <v>27060</v>
      </c>
      <c r="K21" s="518">
        <f t="shared" si="2"/>
        <v>29710.554059999999</v>
      </c>
      <c r="L21" s="519">
        <f t="shared" si="3"/>
        <v>56770.554060000002</v>
      </c>
      <c r="M21" s="327" t="s">
        <v>210</v>
      </c>
      <c r="N21" s="520">
        <v>1</v>
      </c>
    </row>
    <row r="22" spans="1:15" ht="13.15" customHeight="1">
      <c r="A22" s="469" t="s">
        <v>211</v>
      </c>
      <c r="B22" s="461" t="s">
        <v>191</v>
      </c>
      <c r="C22" s="471" t="s">
        <v>212</v>
      </c>
      <c r="D22" s="472" t="s">
        <v>56</v>
      </c>
      <c r="E22" s="473" t="s">
        <v>193</v>
      </c>
      <c r="F22" s="474">
        <v>2255</v>
      </c>
      <c r="G22" s="475">
        <v>1.1179349999999999</v>
      </c>
      <c r="H22" s="476">
        <f t="shared" si="0"/>
        <v>4775.9434250000004</v>
      </c>
      <c r="I22" s="516">
        <f>N22*$N$8</f>
        <v>12</v>
      </c>
      <c r="J22" s="523">
        <f t="shared" si="1"/>
        <v>27060</v>
      </c>
      <c r="K22" s="524">
        <f t="shared" si="2"/>
        <v>30251.321100000001</v>
      </c>
      <c r="L22" s="519">
        <f t="shared" si="3"/>
        <v>57311.321100000001</v>
      </c>
      <c r="M22" s="327" t="s">
        <v>213</v>
      </c>
      <c r="N22" s="520">
        <v>1</v>
      </c>
    </row>
    <row r="23" spans="1:15" customFormat="1" ht="13.15" customHeight="1">
      <c r="A23" s="469" t="s">
        <v>214</v>
      </c>
      <c r="B23" s="461" t="s">
        <v>59</v>
      </c>
      <c r="C23" s="471" t="s">
        <v>58</v>
      </c>
      <c r="D23" s="472" t="s">
        <v>60</v>
      </c>
      <c r="E23" s="473" t="s">
        <v>193</v>
      </c>
      <c r="F23" s="474">
        <v>2020.88</v>
      </c>
      <c r="G23" s="491">
        <v>0.80640000000000001</v>
      </c>
      <c r="H23" s="476">
        <f t="shared" si="0"/>
        <v>3650.517632</v>
      </c>
      <c r="I23" s="516">
        <f>N23*$N$8</f>
        <v>12</v>
      </c>
      <c r="J23" s="523">
        <f t="shared" si="1"/>
        <v>24250.560000000001</v>
      </c>
      <c r="K23" s="524">
        <f t="shared" si="2"/>
        <v>19555.651583999999</v>
      </c>
      <c r="L23" s="519">
        <f t="shared" si="3"/>
        <v>43806.211583999997</v>
      </c>
      <c r="M23" s="530" t="s">
        <v>215</v>
      </c>
      <c r="N23" s="520">
        <v>1</v>
      </c>
      <c r="O23" s="329"/>
    </row>
    <row r="24" spans="1:15" customFormat="1" ht="13.15" customHeight="1">
      <c r="A24" s="805"/>
      <c r="B24" s="806"/>
      <c r="C24" s="806"/>
      <c r="D24" s="806"/>
      <c r="E24" s="806"/>
      <c r="F24" s="806"/>
      <c r="G24" s="806"/>
      <c r="H24" s="806"/>
      <c r="I24" s="806"/>
      <c r="J24" s="806"/>
      <c r="K24" s="806"/>
      <c r="L24" s="807"/>
      <c r="M24" s="531"/>
      <c r="N24" s="529"/>
      <c r="O24" s="329"/>
    </row>
    <row r="25" spans="1:15" s="437" customFormat="1" ht="19.899999999999999" customHeight="1">
      <c r="A25" s="808" t="s">
        <v>216</v>
      </c>
      <c r="B25" s="809"/>
      <c r="C25" s="809"/>
      <c r="D25" s="809"/>
      <c r="E25" s="809"/>
      <c r="F25" s="809"/>
      <c r="G25" s="809"/>
      <c r="H25" s="809"/>
      <c r="I25" s="532">
        <f>SUM(I14:I23)</f>
        <v>204</v>
      </c>
      <c r="J25" s="532">
        <f>SUM(J14:J23)</f>
        <v>1013936.1168</v>
      </c>
      <c r="K25" s="532">
        <f>SUM(K14:K23)</f>
        <v>903457.51057158702</v>
      </c>
      <c r="L25" s="533"/>
      <c r="M25" s="534"/>
      <c r="N25" s="535"/>
      <c r="O25" s="535"/>
    </row>
    <row r="26" spans="1:15" ht="19.899999999999999" customHeight="1">
      <c r="A26" s="810"/>
      <c r="B26" s="811"/>
      <c r="C26" s="811"/>
      <c r="D26" s="811"/>
      <c r="E26" s="811"/>
      <c r="F26" s="811"/>
      <c r="G26" s="811"/>
      <c r="H26" s="811"/>
      <c r="I26" s="811"/>
      <c r="J26" s="811"/>
      <c r="K26" s="811"/>
      <c r="L26" s="812"/>
    </row>
    <row r="27" spans="1:15" ht="19.899999999999999" customHeight="1">
      <c r="A27" s="813" t="s">
        <v>217</v>
      </c>
      <c r="B27" s="814"/>
      <c r="C27" s="814"/>
      <c r="D27" s="814"/>
      <c r="E27" s="814"/>
      <c r="F27" s="814"/>
      <c r="G27" s="814"/>
      <c r="H27" s="814"/>
      <c r="I27" s="532"/>
      <c r="J27" s="532"/>
      <c r="K27" s="532"/>
      <c r="L27" s="536">
        <f>SUM(L14:L23)</f>
        <v>1917393.6273715899</v>
      </c>
    </row>
    <row r="28" spans="1:15" ht="13.15" customHeight="1">
      <c r="A28" s="815" t="s">
        <v>150</v>
      </c>
      <c r="B28" s="816"/>
      <c r="C28" s="816"/>
      <c r="D28" s="816"/>
      <c r="E28" s="816"/>
      <c r="F28" s="816"/>
      <c r="G28" s="493" t="s">
        <v>155</v>
      </c>
      <c r="H28" s="494" t="s">
        <v>218</v>
      </c>
      <c r="I28" s="537"/>
      <c r="J28" s="537"/>
      <c r="K28" s="537"/>
      <c r="L28" s="538"/>
    </row>
    <row r="29" spans="1:15" ht="13.15" hidden="1" customHeight="1">
      <c r="A29" s="817" t="s">
        <v>150</v>
      </c>
      <c r="B29" s="818"/>
      <c r="C29" s="818"/>
      <c r="D29" s="818"/>
      <c r="E29" s="818"/>
      <c r="F29" s="818"/>
      <c r="G29" s="816"/>
      <c r="H29" s="816"/>
      <c r="I29" s="816"/>
      <c r="J29" s="816"/>
      <c r="K29" s="816"/>
      <c r="L29" s="539"/>
    </row>
    <row r="30" spans="1:15" ht="13.15" customHeight="1">
      <c r="A30" s="819" t="str">
        <f>FSUP!A46</f>
        <v>JAMILLE ALMEIDA BRITO</v>
      </c>
      <c r="B30" s="820"/>
      <c r="C30" s="820"/>
      <c r="D30" s="820"/>
      <c r="E30" s="820"/>
      <c r="F30" s="820"/>
      <c r="G30" s="495">
        <v>44893</v>
      </c>
      <c r="H30" s="821" t="str">
        <f>FSUP!J46</f>
        <v>ANALISTA EM DESENVOLVIMENTO REGIONAL DA CODEVASF</v>
      </c>
      <c r="I30" s="820"/>
      <c r="J30" s="820"/>
      <c r="K30" s="820"/>
      <c r="L30" s="822"/>
    </row>
    <row r="31" spans="1:15" ht="13.15" customHeight="1">
      <c r="A31" s="496" t="s">
        <v>156</v>
      </c>
      <c r="B31" s="497"/>
      <c r="C31" s="497"/>
      <c r="D31" s="498"/>
      <c r="E31" s="498"/>
      <c r="F31" s="492"/>
      <c r="G31" s="492"/>
      <c r="H31" s="492"/>
      <c r="I31" s="226"/>
      <c r="J31" s="226"/>
      <c r="K31" s="437"/>
      <c r="L31" s="540"/>
    </row>
    <row r="32" spans="1:15" ht="13.15" customHeight="1">
      <c r="A32" s="499" t="s">
        <v>219</v>
      </c>
      <c r="B32" s="500"/>
      <c r="C32" s="492"/>
      <c r="D32" s="498"/>
      <c r="E32" s="498"/>
      <c r="F32" s="492"/>
      <c r="G32" s="492"/>
      <c r="H32" s="492"/>
      <c r="I32" s="226"/>
      <c r="J32" s="226"/>
      <c r="K32" s="437"/>
      <c r="L32" s="540"/>
    </row>
    <row r="33" spans="1:12" ht="13.15" customHeight="1">
      <c r="A33" s="499" t="s">
        <v>220</v>
      </c>
      <c r="B33" s="500"/>
      <c r="C33" s="501"/>
      <c r="D33" s="498"/>
      <c r="E33" s="498"/>
      <c r="F33" s="492"/>
      <c r="G33" s="492"/>
      <c r="H33" s="492"/>
      <c r="I33" s="226"/>
      <c r="J33" s="226"/>
      <c r="K33" s="437"/>
      <c r="L33" s="540"/>
    </row>
    <row r="34" spans="1:12" ht="13.15" customHeight="1">
      <c r="A34" s="448" t="s">
        <v>221</v>
      </c>
      <c r="B34" s="492"/>
      <c r="C34" s="492"/>
      <c r="D34" s="498"/>
      <c r="E34" s="498"/>
      <c r="F34" s="492"/>
      <c r="G34" s="492"/>
      <c r="H34" s="492"/>
      <c r="I34" s="226"/>
      <c r="J34" s="226"/>
      <c r="K34" s="437"/>
      <c r="L34" s="540"/>
    </row>
    <row r="35" spans="1:12" ht="13.15" customHeight="1">
      <c r="A35" s="448" t="s">
        <v>222</v>
      </c>
      <c r="B35" s="492"/>
      <c r="C35" s="492"/>
      <c r="D35" s="498"/>
      <c r="E35" s="498"/>
      <c r="F35" s="492"/>
      <c r="G35" s="492"/>
      <c r="H35" s="492"/>
      <c r="I35" s="226"/>
      <c r="J35" s="226"/>
      <c r="K35" s="437"/>
      <c r="L35" s="540"/>
    </row>
    <row r="36" spans="1:12" ht="13.15" customHeight="1">
      <c r="A36" s="448" t="s">
        <v>223</v>
      </c>
      <c r="B36" s="492"/>
      <c r="C36" s="492"/>
      <c r="D36" s="498"/>
      <c r="E36" s="498"/>
      <c r="F36" s="492"/>
      <c r="G36" s="492"/>
      <c r="H36" s="492"/>
      <c r="I36" s="226"/>
      <c r="J36" s="226"/>
      <c r="K36" s="437"/>
      <c r="L36" s="540"/>
    </row>
    <row r="37" spans="1:12" ht="13.15" customHeight="1">
      <c r="A37" s="448" t="s">
        <v>224</v>
      </c>
      <c r="B37" s="492"/>
      <c r="C37" s="492"/>
      <c r="D37" s="498"/>
      <c r="E37" s="498"/>
      <c r="F37" s="492"/>
      <c r="G37" s="492"/>
      <c r="H37" s="492"/>
      <c r="I37" s="226"/>
      <c r="J37" s="226"/>
      <c r="K37" s="437"/>
      <c r="L37" s="540"/>
    </row>
    <row r="38" spans="1:12" ht="13.15" customHeight="1">
      <c r="A38" s="448" t="s">
        <v>225</v>
      </c>
      <c r="B38" s="492"/>
      <c r="C38" s="492"/>
      <c r="D38" s="498"/>
      <c r="E38" s="498"/>
      <c r="F38" s="492"/>
      <c r="G38" s="492"/>
      <c r="H38" s="492"/>
      <c r="I38" s="226"/>
      <c r="J38" s="226"/>
      <c r="K38" s="437"/>
      <c r="L38" s="540"/>
    </row>
    <row r="39" spans="1:12" ht="13.15" customHeight="1">
      <c r="A39" s="448" t="s">
        <v>226</v>
      </c>
      <c r="B39" s="492"/>
      <c r="C39" s="492"/>
      <c r="D39" s="498"/>
      <c r="E39" s="498"/>
      <c r="F39" s="492"/>
      <c r="G39" s="492"/>
      <c r="H39" s="492"/>
      <c r="I39" s="226"/>
      <c r="J39" s="226"/>
      <c r="K39" s="437"/>
      <c r="L39" s="540"/>
    </row>
    <row r="40" spans="1:12" ht="13.15" customHeight="1">
      <c r="A40" s="448" t="s">
        <v>227</v>
      </c>
      <c r="B40" s="492"/>
      <c r="C40" s="492"/>
      <c r="D40" s="498"/>
      <c r="E40" s="498"/>
      <c r="F40" s="492"/>
      <c r="G40" s="492"/>
      <c r="H40" s="492"/>
      <c r="I40" s="226"/>
      <c r="J40" s="226"/>
      <c r="K40" s="437"/>
      <c r="L40" s="540"/>
    </row>
    <row r="41" spans="1:12" ht="13.15" customHeight="1">
      <c r="A41" s="448" t="s">
        <v>228</v>
      </c>
      <c r="B41" s="492"/>
      <c r="C41" s="492"/>
      <c r="D41" s="498"/>
      <c r="E41" s="498"/>
      <c r="F41" s="492"/>
      <c r="G41" s="492"/>
      <c r="H41" s="492"/>
      <c r="I41" s="226"/>
      <c r="J41" s="226"/>
      <c r="K41" s="437"/>
      <c r="L41" s="540"/>
    </row>
    <row r="42" spans="1:12" ht="13.15" customHeight="1">
      <c r="A42" s="448" t="s">
        <v>229</v>
      </c>
      <c r="B42" s="492"/>
      <c r="C42" s="492"/>
      <c r="D42" s="498"/>
      <c r="E42" s="498"/>
      <c r="F42" s="492"/>
      <c r="G42" s="492"/>
      <c r="H42" s="492"/>
      <c r="I42" s="226"/>
      <c r="J42" s="226"/>
      <c r="K42" s="437"/>
      <c r="L42" s="540"/>
    </row>
    <row r="43" spans="1:12" ht="13.15" customHeight="1">
      <c r="A43" s="502"/>
      <c r="B43" s="503"/>
      <c r="C43" s="503"/>
      <c r="D43" s="504"/>
      <c r="E43" s="504"/>
      <c r="F43" s="503"/>
      <c r="G43" s="503"/>
      <c r="H43" s="503"/>
      <c r="I43" s="503"/>
      <c r="J43" s="503"/>
      <c r="K43" s="541"/>
      <c r="L43" s="542"/>
    </row>
  </sheetData>
  <mergeCells count="19">
    <mergeCell ref="A30:F30"/>
    <mergeCell ref="H30:L30"/>
    <mergeCell ref="I9:I10"/>
    <mergeCell ref="A5:H6"/>
    <mergeCell ref="A26:L26"/>
    <mergeCell ref="A27:H27"/>
    <mergeCell ref="A28:F28"/>
    <mergeCell ref="A29:H29"/>
    <mergeCell ref="I29:K29"/>
    <mergeCell ref="A9:E9"/>
    <mergeCell ref="F9:H9"/>
    <mergeCell ref="J9:L9"/>
    <mergeCell ref="A24:L24"/>
    <mergeCell ref="A25:H25"/>
    <mergeCell ref="I5:L5"/>
    <mergeCell ref="I6:L6"/>
    <mergeCell ref="I7:L7"/>
    <mergeCell ref="A8:H8"/>
    <mergeCell ref="I8:L8"/>
  </mergeCells>
  <printOptions horizontalCentered="1"/>
  <pageMargins left="0.39370078740157499" right="0.39370078740157499" top="0.78740157480314998" bottom="0.39370078740157499" header="0.511811023622047" footer="0.511811023622047"/>
  <pageSetup paperSize="9" scale="80" firstPageNumber="0" orientation="landscape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showGridLines="0" view="pageBreakPreview" zoomScale="80" workbookViewId="0">
      <selection activeCell="C22" sqref="C22"/>
    </sheetView>
  </sheetViews>
  <sheetFormatPr defaultColWidth="10.7109375" defaultRowHeight="15" customHeight="1"/>
  <cols>
    <col min="1" max="1" width="8.7109375" style="354" customWidth="1"/>
    <col min="2" max="2" width="26.42578125" style="354" customWidth="1"/>
    <col min="3" max="3" width="9" style="354" customWidth="1"/>
    <col min="4" max="4" width="20.85546875" style="354" customWidth="1"/>
    <col min="5" max="5" width="45.7109375" style="354" customWidth="1"/>
    <col min="6" max="6" width="5.7109375" style="354" customWidth="1"/>
    <col min="7" max="7" width="11.85546875" style="354" customWidth="1"/>
    <col min="8" max="8" width="19.140625" style="354" customWidth="1"/>
    <col min="9" max="9" width="18.5703125" style="354" customWidth="1"/>
    <col min="10" max="10" width="17.28515625" style="354" customWidth="1"/>
    <col min="11" max="11" width="21" style="354" customWidth="1"/>
    <col min="12" max="12" width="10.7109375" style="354"/>
    <col min="13" max="13" width="7.7109375" style="354" customWidth="1"/>
    <col min="14" max="16384" width="10.7109375" style="354"/>
  </cols>
  <sheetData>
    <row r="1" spans="1:14" s="161" customFormat="1" ht="11.25">
      <c r="C1" s="167" t="str">
        <f>FSUP!H1</f>
        <v>Ministério de Desenvolvimento Regional - MDR</v>
      </c>
    </row>
    <row r="2" spans="1:14" s="161" customFormat="1" ht="11.25">
      <c r="C2" s="167" t="str">
        <f>FSUP!H2</f>
        <v>Companhia de Desenvolvimento dos Vales do São Francisco e do Parnaíba</v>
      </c>
    </row>
    <row r="3" spans="1:14" s="161" customFormat="1" ht="11.25">
      <c r="C3" s="167" t="str">
        <f>FSUP!H3</f>
        <v>2ª Superintendência Regional da Codevasf</v>
      </c>
    </row>
    <row r="4" spans="1:14" s="161" customFormat="1" ht="11.25"/>
    <row r="5" spans="1:14" ht="11.25">
      <c r="A5" s="853" t="s">
        <v>230</v>
      </c>
      <c r="B5" s="854"/>
      <c r="C5" s="854"/>
      <c r="D5" s="854"/>
      <c r="E5" s="855"/>
      <c r="F5" s="855"/>
      <c r="G5" s="855"/>
      <c r="H5" s="855"/>
      <c r="I5" s="855"/>
      <c r="J5" s="829" t="s">
        <v>116</v>
      </c>
      <c r="K5" s="830"/>
    </row>
    <row r="6" spans="1:14" ht="20.100000000000001" customHeight="1">
      <c r="A6" s="856"/>
      <c r="B6" s="857"/>
      <c r="C6" s="857"/>
      <c r="D6" s="857"/>
      <c r="E6" s="858"/>
      <c r="F6" s="858"/>
      <c r="G6" s="858"/>
      <c r="H6" s="858"/>
      <c r="I6" s="858"/>
      <c r="J6" s="831" t="s">
        <v>231</v>
      </c>
      <c r="K6" s="832"/>
      <c r="L6" s="327" t="s">
        <v>16</v>
      </c>
      <c r="M6" s="411">
        <v>12</v>
      </c>
      <c r="N6" s="329" t="s">
        <v>17</v>
      </c>
    </row>
    <row r="7" spans="1:14" ht="13.15" customHeight="1">
      <c r="A7" s="355" t="s">
        <v>118</v>
      </c>
      <c r="B7" s="356"/>
      <c r="C7" s="356"/>
      <c r="D7" s="356"/>
      <c r="E7" s="833"/>
      <c r="F7" s="833"/>
      <c r="G7" s="833"/>
      <c r="H7" s="833"/>
      <c r="I7" s="833"/>
      <c r="J7" s="412" t="s">
        <v>119</v>
      </c>
      <c r="K7" s="413"/>
    </row>
    <row r="8" spans="1:14" ht="13.15" customHeight="1">
      <c r="A8" s="834" t="str">
        <f>FSUP!A8</f>
        <v>SERVIÇOS TOPOGRÁFICOS E DE APOIO À FISCALIZAÇÃO E SUPERVISÃO TÉCNICA DE INSTRUMENTOS NA ÁREA DE ABRANGÊNCIA DA 2ª SR</v>
      </c>
      <c r="B8" s="835"/>
      <c r="C8" s="835"/>
      <c r="D8" s="835"/>
      <c r="E8" s="835"/>
      <c r="F8" s="835"/>
      <c r="G8" s="835"/>
      <c r="H8" s="835"/>
      <c r="I8" s="835"/>
      <c r="J8" s="414"/>
      <c r="K8" s="415"/>
    </row>
    <row r="9" spans="1:14" s="352" customFormat="1" ht="13.15" customHeight="1">
      <c r="A9" s="357"/>
      <c r="B9" s="358"/>
      <c r="C9" s="359" t="s">
        <v>166</v>
      </c>
      <c r="D9" s="358" t="s">
        <v>232</v>
      </c>
      <c r="E9" s="360"/>
      <c r="F9" s="836" t="s">
        <v>233</v>
      </c>
      <c r="G9" s="837"/>
      <c r="H9" s="837"/>
      <c r="I9" s="837"/>
      <c r="J9" s="416" t="s">
        <v>234</v>
      </c>
      <c r="K9" s="417" t="s">
        <v>235</v>
      </c>
    </row>
    <row r="10" spans="1:14" s="352" customFormat="1" ht="13.15" customHeight="1">
      <c r="A10" s="361" t="s">
        <v>169</v>
      </c>
      <c r="B10" s="362" t="s">
        <v>172</v>
      </c>
      <c r="C10" s="363" t="s">
        <v>236</v>
      </c>
      <c r="D10" s="358" t="s">
        <v>237</v>
      </c>
      <c r="E10" s="360" t="s">
        <v>238</v>
      </c>
      <c r="F10" s="364" t="s">
        <v>239</v>
      </c>
      <c r="G10" s="365" t="s">
        <v>166</v>
      </c>
      <c r="H10" s="838" t="s">
        <v>240</v>
      </c>
      <c r="I10" s="839"/>
      <c r="J10" s="418" t="s">
        <v>241</v>
      </c>
      <c r="K10" s="417" t="s">
        <v>242</v>
      </c>
    </row>
    <row r="11" spans="1:14" s="352" customFormat="1" ht="13.15" customHeight="1">
      <c r="A11" s="361"/>
      <c r="B11" s="703" t="s">
        <v>180</v>
      </c>
      <c r="C11" s="703" t="s">
        <v>181</v>
      </c>
      <c r="D11" s="703" t="s">
        <v>182</v>
      </c>
      <c r="E11" s="704" t="s">
        <v>183</v>
      </c>
      <c r="F11" s="705" t="s">
        <v>184</v>
      </c>
      <c r="G11" s="366" t="s">
        <v>243</v>
      </c>
      <c r="H11" s="367" t="s">
        <v>244</v>
      </c>
      <c r="I11" s="419" t="s">
        <v>242</v>
      </c>
      <c r="J11" s="706" t="s">
        <v>186</v>
      </c>
      <c r="K11" s="707" t="s">
        <v>187</v>
      </c>
    </row>
    <row r="12" spans="1:14" ht="13.15" customHeight="1">
      <c r="A12" s="368">
        <v>1</v>
      </c>
      <c r="B12" s="369" t="s">
        <v>245</v>
      </c>
      <c r="C12" s="369"/>
      <c r="D12" s="369"/>
      <c r="E12" s="370"/>
      <c r="F12" s="371"/>
      <c r="G12" s="372"/>
      <c r="H12" s="369"/>
      <c r="I12" s="420"/>
      <c r="J12" s="421"/>
      <c r="K12" s="422"/>
      <c r="M12" s="354" t="s">
        <v>246</v>
      </c>
    </row>
    <row r="13" spans="1:14" ht="33.950000000000003" customHeight="1">
      <c r="A13" s="373" t="s">
        <v>28</v>
      </c>
      <c r="B13" s="374" t="s">
        <v>47</v>
      </c>
      <c r="C13" s="375">
        <v>4</v>
      </c>
      <c r="D13" s="376">
        <v>22</v>
      </c>
      <c r="E13" s="377" t="s">
        <v>247</v>
      </c>
      <c r="F13" s="378" t="s">
        <v>248</v>
      </c>
      <c r="G13" s="379">
        <f>'Memória de Cálculo'!AA13*C13</f>
        <v>68</v>
      </c>
      <c r="H13" s="380">
        <f>$M$13</f>
        <v>218.1</v>
      </c>
      <c r="I13" s="423">
        <f>G13*H13</f>
        <v>14830.8</v>
      </c>
      <c r="J13" s="424">
        <f>$M$6</f>
        <v>12</v>
      </c>
      <c r="K13" s="425">
        <f>J13*(I13)</f>
        <v>177969.59999999998</v>
      </c>
      <c r="M13" s="354">
        <v>218.1</v>
      </c>
    </row>
    <row r="14" spans="1:14" ht="35.1" customHeight="1">
      <c r="A14" s="373" t="s">
        <v>61</v>
      </c>
      <c r="B14" s="381" t="s">
        <v>50</v>
      </c>
      <c r="C14" s="382">
        <v>4</v>
      </c>
      <c r="D14" s="383">
        <v>22</v>
      </c>
      <c r="E14" s="377" t="s">
        <v>247</v>
      </c>
      <c r="F14" s="384" t="s">
        <v>248</v>
      </c>
      <c r="G14" s="379">
        <f>'Memória de Cálculo'!AA14*C14</f>
        <v>68</v>
      </c>
      <c r="H14" s="380">
        <f>$M$13</f>
        <v>218.1</v>
      </c>
      <c r="I14" s="423">
        <f>G14*H14</f>
        <v>14830.8</v>
      </c>
      <c r="J14" s="424">
        <f>$M$6</f>
        <v>12</v>
      </c>
      <c r="K14" s="425">
        <f>J14*(I14)</f>
        <v>177969.59999999998</v>
      </c>
    </row>
    <row r="15" spans="1:14" ht="38.1" customHeight="1">
      <c r="A15" s="373" t="s">
        <v>195</v>
      </c>
      <c r="B15" s="385" t="s">
        <v>53</v>
      </c>
      <c r="C15" s="382">
        <v>1</v>
      </c>
      <c r="D15" s="383">
        <v>22</v>
      </c>
      <c r="E15" s="377" t="s">
        <v>247</v>
      </c>
      <c r="F15" s="384" t="s">
        <v>248</v>
      </c>
      <c r="G15" s="379">
        <f>'Memória de Cálculo'!AA15*C15</f>
        <v>17</v>
      </c>
      <c r="H15" s="380">
        <f>$M$13</f>
        <v>218.1</v>
      </c>
      <c r="I15" s="423">
        <f>G15*H15</f>
        <v>3707.7</v>
      </c>
      <c r="J15" s="424">
        <f>$M$6</f>
        <v>12</v>
      </c>
      <c r="K15" s="425">
        <f>J15*(I15)</f>
        <v>44492.399999999994</v>
      </c>
    </row>
    <row r="16" spans="1:14" ht="13.15" customHeight="1">
      <c r="A16" s="368">
        <v>2</v>
      </c>
      <c r="B16" s="369"/>
      <c r="C16" s="386"/>
      <c r="D16" s="369"/>
      <c r="E16" s="370"/>
      <c r="F16" s="371"/>
      <c r="G16" s="372"/>
      <c r="H16" s="369"/>
      <c r="I16" s="420"/>
      <c r="J16" s="372"/>
      <c r="K16" s="422"/>
    </row>
    <row r="17" spans="1:14" ht="33.75">
      <c r="A17" s="373" t="s">
        <v>69</v>
      </c>
      <c r="B17" s="385" t="s">
        <v>249</v>
      </c>
      <c r="C17" s="387">
        <v>1</v>
      </c>
      <c r="D17" s="376">
        <v>5</v>
      </c>
      <c r="E17" s="377" t="s">
        <v>250</v>
      </c>
      <c r="F17" s="378" t="s">
        <v>248</v>
      </c>
      <c r="G17" s="379">
        <f>'Memória de Cálculo'!AA9*C17</f>
        <v>4</v>
      </c>
      <c r="H17" s="380">
        <f t="shared" ref="H17:H22" si="0">$M$13</f>
        <v>218.1</v>
      </c>
      <c r="I17" s="423">
        <f t="shared" ref="I17:I22" si="1">G17*H17</f>
        <v>872.4</v>
      </c>
      <c r="J17" s="424">
        <f t="shared" ref="J17:J22" si="2">$M$6</f>
        <v>12</v>
      </c>
      <c r="K17" s="425">
        <f t="shared" ref="K17:K22" si="3">J17*(I17)</f>
        <v>10468.799999999999</v>
      </c>
    </row>
    <row r="18" spans="1:14" ht="33.75">
      <c r="A18" s="373" t="s">
        <v>86</v>
      </c>
      <c r="B18" s="385" t="s">
        <v>251</v>
      </c>
      <c r="C18" s="387">
        <v>1</v>
      </c>
      <c r="D18" s="376">
        <v>15</v>
      </c>
      <c r="E18" s="377" t="s">
        <v>250</v>
      </c>
      <c r="F18" s="378" t="s">
        <v>248</v>
      </c>
      <c r="G18" s="379">
        <f>'Memória de Cálculo'!AA10*C18</f>
        <v>12</v>
      </c>
      <c r="H18" s="380">
        <f t="shared" si="0"/>
        <v>218.1</v>
      </c>
      <c r="I18" s="423">
        <f t="shared" si="1"/>
        <v>2617.1999999999998</v>
      </c>
      <c r="J18" s="424">
        <f t="shared" si="2"/>
        <v>12</v>
      </c>
      <c r="K18" s="425">
        <f t="shared" si="3"/>
        <v>31406.399999999998</v>
      </c>
    </row>
    <row r="19" spans="1:14" ht="22.5">
      <c r="A19" s="373" t="s">
        <v>203</v>
      </c>
      <c r="B19" s="385" t="s">
        <v>251</v>
      </c>
      <c r="C19" s="387">
        <v>1</v>
      </c>
      <c r="D19" s="376">
        <v>15</v>
      </c>
      <c r="E19" s="377" t="s">
        <v>252</v>
      </c>
      <c r="F19" s="378" t="s">
        <v>248</v>
      </c>
      <c r="G19" s="379">
        <f>'Memória de Cálculo'!AA19*C19</f>
        <v>12</v>
      </c>
      <c r="H19" s="380">
        <f t="shared" si="0"/>
        <v>218.1</v>
      </c>
      <c r="I19" s="423">
        <f t="shared" si="1"/>
        <v>2617.1999999999998</v>
      </c>
      <c r="J19" s="424">
        <f t="shared" si="2"/>
        <v>12</v>
      </c>
      <c r="K19" s="425">
        <f t="shared" si="3"/>
        <v>31406.399999999998</v>
      </c>
    </row>
    <row r="20" spans="1:14" ht="33.75">
      <c r="A20" s="373" t="s">
        <v>253</v>
      </c>
      <c r="B20" s="385" t="s">
        <v>251</v>
      </c>
      <c r="C20" s="387">
        <v>1</v>
      </c>
      <c r="D20" s="376">
        <v>15</v>
      </c>
      <c r="E20" s="377" t="s">
        <v>254</v>
      </c>
      <c r="F20" s="378" t="s">
        <v>248</v>
      </c>
      <c r="G20" s="379">
        <f>'Memória de Cálculo'!AA21*C21</f>
        <v>12</v>
      </c>
      <c r="H20" s="380">
        <f t="shared" si="0"/>
        <v>218.1</v>
      </c>
      <c r="I20" s="423">
        <f t="shared" si="1"/>
        <v>2617.1999999999998</v>
      </c>
      <c r="J20" s="424">
        <f t="shared" si="2"/>
        <v>12</v>
      </c>
      <c r="K20" s="425">
        <f t="shared" si="3"/>
        <v>31406.399999999998</v>
      </c>
    </row>
    <row r="21" spans="1:14" ht="33.75">
      <c r="A21" s="373" t="s">
        <v>255</v>
      </c>
      <c r="B21" s="388" t="s">
        <v>256</v>
      </c>
      <c r="C21" s="389">
        <v>1</v>
      </c>
      <c r="D21" s="383">
        <v>15</v>
      </c>
      <c r="E21" s="377" t="s">
        <v>257</v>
      </c>
      <c r="F21" s="390" t="s">
        <v>248</v>
      </c>
      <c r="G21" s="391">
        <f>'Memória de Cálculo'!AA11*C21</f>
        <v>12</v>
      </c>
      <c r="H21" s="392">
        <f t="shared" si="0"/>
        <v>218.1</v>
      </c>
      <c r="I21" s="426">
        <f t="shared" si="1"/>
        <v>2617.1999999999998</v>
      </c>
      <c r="J21" s="424">
        <f t="shared" si="2"/>
        <v>12</v>
      </c>
      <c r="K21" s="425">
        <f t="shared" si="3"/>
        <v>31406.399999999998</v>
      </c>
    </row>
    <row r="22" spans="1:14" customFormat="1" ht="33.75">
      <c r="A22" s="373" t="s">
        <v>258</v>
      </c>
      <c r="B22" s="388" t="s">
        <v>60</v>
      </c>
      <c r="C22" s="389">
        <v>1</v>
      </c>
      <c r="D22" s="383">
        <v>8</v>
      </c>
      <c r="E22" s="377" t="s">
        <v>257</v>
      </c>
      <c r="F22" s="393" t="s">
        <v>248</v>
      </c>
      <c r="G22" s="394">
        <f>'Memória de Cálculo'!AA17*C22</f>
        <v>5</v>
      </c>
      <c r="H22" s="395">
        <f t="shared" si="0"/>
        <v>218.1</v>
      </c>
      <c r="I22" s="427">
        <f t="shared" si="1"/>
        <v>1090.5</v>
      </c>
      <c r="J22" s="424">
        <f t="shared" si="2"/>
        <v>12</v>
      </c>
      <c r="K22" s="425">
        <f t="shared" si="3"/>
        <v>13086</v>
      </c>
      <c r="L22" s="354"/>
    </row>
    <row r="23" spans="1:14" customFormat="1" ht="12.75">
      <c r="A23" s="840" t="s">
        <v>174</v>
      </c>
      <c r="B23" s="841"/>
      <c r="C23" s="841"/>
      <c r="D23" s="841"/>
      <c r="E23" s="841"/>
      <c r="F23" s="841"/>
      <c r="G23" s="396">
        <f>SUM(G13:G22)</f>
        <v>210</v>
      </c>
      <c r="H23" s="397">
        <f>G23*$M$13</f>
        <v>45801</v>
      </c>
      <c r="I23" s="428">
        <f>SUM(I13:I22)</f>
        <v>45800.999999999985</v>
      </c>
      <c r="J23" s="429"/>
      <c r="K23" s="430"/>
      <c r="L23" s="354"/>
    </row>
    <row r="24" spans="1:14" customFormat="1" ht="12.75">
      <c r="A24" s="398"/>
      <c r="B24" s="842"/>
      <c r="C24" s="842"/>
      <c r="D24" s="842"/>
      <c r="E24" s="842"/>
      <c r="F24" s="842"/>
      <c r="G24" s="842"/>
      <c r="H24" s="842"/>
      <c r="I24" s="842"/>
      <c r="J24" s="842"/>
      <c r="K24" s="843"/>
      <c r="L24" s="354"/>
      <c r="M24" s="844" t="s">
        <v>259</v>
      </c>
      <c r="N24" s="844"/>
    </row>
    <row r="25" spans="1:14" s="353" customFormat="1" ht="19.899999999999999" customHeight="1">
      <c r="A25" s="845" t="s">
        <v>260</v>
      </c>
      <c r="B25" s="846"/>
      <c r="C25" s="846"/>
      <c r="D25" s="846"/>
      <c r="E25" s="846"/>
      <c r="F25" s="846"/>
      <c r="G25" s="847"/>
      <c r="H25" s="399"/>
      <c r="I25" s="431">
        <f>SUM(I12:I22)</f>
        <v>45800.999999999985</v>
      </c>
      <c r="J25" s="432"/>
      <c r="K25" s="433">
        <f>SUM(K13:K22)</f>
        <v>549612</v>
      </c>
      <c r="L25" s="434"/>
      <c r="M25" s="848">
        <f>K25*1.4496</f>
        <v>796717.55519999994</v>
      </c>
      <c r="N25" s="848"/>
    </row>
    <row r="26" spans="1:14" ht="13.15" customHeight="1">
      <c r="A26" s="400" t="s">
        <v>150</v>
      </c>
      <c r="B26" s="401"/>
      <c r="C26" s="401"/>
      <c r="D26" s="401"/>
      <c r="E26" s="402"/>
      <c r="F26" s="402"/>
      <c r="G26" s="403" t="s">
        <v>155</v>
      </c>
      <c r="H26" s="404" t="s">
        <v>151</v>
      </c>
      <c r="I26" s="404"/>
    </row>
    <row r="27" spans="1:14" ht="13.15" customHeight="1">
      <c r="A27" s="405" t="str">
        <f>FSUP!A46</f>
        <v>JAMILLE ALMEIDA BRITO</v>
      </c>
      <c r="B27" s="406"/>
      <c r="C27" s="406"/>
      <c r="D27" s="406"/>
      <c r="E27" s="406"/>
      <c r="F27" s="406"/>
      <c r="G27" s="407">
        <f>FSUP!N48</f>
        <v>44893</v>
      </c>
      <c r="H27" s="408" t="str">
        <f>FSUP!J46</f>
        <v>ANALISTA EM DESENVOLVIMENTO REGIONAL DA CODEVASF</v>
      </c>
      <c r="I27" s="408"/>
    </row>
    <row r="28" spans="1:14" ht="13.15" customHeight="1">
      <c r="A28" s="849" t="s">
        <v>156</v>
      </c>
      <c r="B28" s="850"/>
      <c r="C28" s="850"/>
      <c r="D28" s="850"/>
      <c r="E28" s="851"/>
      <c r="F28" s="851"/>
      <c r="G28" s="851"/>
      <c r="H28" s="851"/>
      <c r="I28" s="851"/>
      <c r="J28" s="851"/>
      <c r="K28" s="852"/>
    </row>
    <row r="29" spans="1:14" ht="13.15" customHeight="1">
      <c r="A29" s="313" t="s">
        <v>261</v>
      </c>
      <c r="B29" s="314"/>
      <c r="C29" s="314"/>
      <c r="D29" s="314"/>
      <c r="E29" s="401"/>
      <c r="F29" s="401"/>
      <c r="G29" s="401"/>
      <c r="H29" s="401"/>
      <c r="I29" s="401"/>
      <c r="J29" s="401"/>
      <c r="K29" s="435"/>
    </row>
    <row r="30" spans="1:14" ht="13.15" customHeight="1">
      <c r="A30" s="313" t="s">
        <v>262</v>
      </c>
      <c r="B30" s="314"/>
      <c r="C30" s="314"/>
      <c r="D30" s="314"/>
      <c r="E30" s="401"/>
      <c r="F30" s="401"/>
      <c r="G30" s="401"/>
      <c r="H30" s="401"/>
      <c r="I30" s="401"/>
      <c r="J30" s="401"/>
      <c r="K30" s="435"/>
    </row>
    <row r="31" spans="1:14" ht="13.15" customHeight="1">
      <c r="A31" s="313" t="s">
        <v>263</v>
      </c>
      <c r="B31" s="314"/>
      <c r="C31" s="314"/>
      <c r="D31" s="314"/>
      <c r="E31" s="401"/>
      <c r="F31" s="401"/>
      <c r="G31" s="401"/>
      <c r="H31" s="401"/>
      <c r="I31" s="401"/>
      <c r="J31" s="401"/>
      <c r="K31" s="435"/>
    </row>
    <row r="32" spans="1:14" ht="13.15" customHeight="1">
      <c r="A32" s="313" t="s">
        <v>264</v>
      </c>
      <c r="B32" s="314"/>
      <c r="C32" s="314"/>
      <c r="D32" s="314"/>
      <c r="E32" s="401"/>
      <c r="F32" s="401"/>
      <c r="G32" s="401"/>
      <c r="H32" s="401"/>
      <c r="I32" s="401"/>
      <c r="J32" s="401"/>
      <c r="K32" s="435"/>
    </row>
    <row r="33" spans="1:11" ht="13.15" customHeight="1">
      <c r="A33" s="313" t="s">
        <v>265</v>
      </c>
      <c r="B33" s="314"/>
      <c r="C33" s="314"/>
      <c r="D33" s="314"/>
      <c r="E33" s="401"/>
      <c r="F33" s="401"/>
      <c r="G33" s="401"/>
      <c r="H33" s="401"/>
      <c r="I33" s="401"/>
      <c r="J33" s="401"/>
      <c r="K33" s="435"/>
    </row>
    <row r="34" spans="1:11" ht="13.15" customHeight="1">
      <c r="A34" s="313" t="s">
        <v>266</v>
      </c>
      <c r="B34" s="314"/>
      <c r="C34" s="314"/>
      <c r="D34" s="314"/>
      <c r="E34" s="401"/>
      <c r="F34" s="401"/>
      <c r="G34" s="401"/>
      <c r="H34" s="401"/>
      <c r="I34" s="401"/>
      <c r="J34" s="401"/>
      <c r="K34" s="435"/>
    </row>
    <row r="35" spans="1:11" ht="13.15" customHeight="1">
      <c r="A35" s="313" t="s">
        <v>267</v>
      </c>
      <c r="B35" s="314"/>
      <c r="C35" s="314"/>
      <c r="D35" s="314"/>
      <c r="E35" s="401"/>
      <c r="F35" s="401"/>
      <c r="G35" s="401"/>
      <c r="H35" s="401"/>
      <c r="I35" s="401"/>
      <c r="J35" s="401"/>
      <c r="K35" s="435"/>
    </row>
    <row r="36" spans="1:11" ht="13.15" customHeight="1">
      <c r="A36" s="313" t="s">
        <v>268</v>
      </c>
      <c r="B36" s="314"/>
      <c r="C36" s="314"/>
      <c r="D36" s="314"/>
      <c r="E36" s="401"/>
      <c r="F36" s="401"/>
      <c r="G36" s="401"/>
      <c r="H36" s="401"/>
      <c r="I36" s="401"/>
      <c r="J36" s="401"/>
      <c r="K36" s="435"/>
    </row>
    <row r="37" spans="1:11" ht="13.15" customHeight="1">
      <c r="A37" s="313" t="s">
        <v>269</v>
      </c>
      <c r="B37" s="314"/>
      <c r="C37" s="314"/>
      <c r="D37" s="314"/>
      <c r="E37" s="401"/>
      <c r="F37" s="401"/>
      <c r="G37" s="401"/>
      <c r="H37" s="401"/>
      <c r="I37" s="401"/>
      <c r="J37" s="401"/>
      <c r="K37" s="435"/>
    </row>
    <row r="38" spans="1:11" ht="13.15" customHeight="1">
      <c r="A38" s="409"/>
      <c r="B38" s="410"/>
      <c r="C38" s="410"/>
      <c r="D38" s="410"/>
      <c r="E38" s="410"/>
      <c r="F38" s="410"/>
      <c r="G38" s="410"/>
      <c r="H38" s="410"/>
      <c r="I38" s="410"/>
      <c r="J38" s="410"/>
      <c r="K38" s="436"/>
    </row>
  </sheetData>
  <mergeCells count="13">
    <mergeCell ref="A28:K28"/>
    <mergeCell ref="A5:I6"/>
    <mergeCell ref="H10:I10"/>
    <mergeCell ref="A23:F23"/>
    <mergeCell ref="B24:K24"/>
    <mergeCell ref="M24:N24"/>
    <mergeCell ref="A25:G25"/>
    <mergeCell ref="M25:N25"/>
    <mergeCell ref="J5:K5"/>
    <mergeCell ref="J6:K6"/>
    <mergeCell ref="E7:I7"/>
    <mergeCell ref="A8:I8"/>
    <mergeCell ref="F9:I9"/>
  </mergeCells>
  <printOptions horizontalCentered="1"/>
  <pageMargins left="0.39374999999999999" right="0.39374999999999999" top="1.1812499999999999" bottom="0.39374999999999999" header="0.51180555555555596" footer="0.51180555555555596"/>
  <pageSetup paperSize="9" scale="72" firstPageNumber="0" orientation="landscape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N43"/>
  <sheetViews>
    <sheetView workbookViewId="0"/>
  </sheetViews>
  <sheetFormatPr defaultRowHeight="15"/>
  <sheetData>
    <row r="1" spans="2:14" ht="12.75">
      <c r="D1" s="167"/>
      <c r="E1" s="167" t="str">
        <f>FSUP!H1</f>
        <v>Ministério de Desenvolvimento Regional - MDR</v>
      </c>
      <c r="J1" s="318"/>
      <c r="K1" s="167"/>
    </row>
    <row r="2" spans="2:14" ht="12.75">
      <c r="D2" s="167"/>
      <c r="E2" s="167" t="str">
        <f>FSUP!H2</f>
        <v>Companhia de Desenvolvimento dos Vales do São Francisco e do Parnaíba</v>
      </c>
      <c r="J2" s="318"/>
      <c r="K2" s="167"/>
    </row>
    <row r="3" spans="2:14" ht="12.75">
      <c r="D3" s="167"/>
      <c r="E3" s="167" t="str">
        <f>FSUP!H3</f>
        <v>2ª Superintendência Regional da Codevasf</v>
      </c>
      <c r="J3" s="318"/>
      <c r="K3" s="167"/>
    </row>
    <row r="4" spans="2:14" ht="12.75">
      <c r="D4" s="167"/>
      <c r="J4" s="318"/>
      <c r="K4" s="167"/>
    </row>
    <row r="5" spans="2:14" ht="18">
      <c r="B5" s="211" t="s">
        <v>270</v>
      </c>
      <c r="C5" s="212"/>
      <c r="D5" s="212"/>
      <c r="E5" s="212"/>
      <c r="F5" s="212"/>
      <c r="G5" s="212"/>
      <c r="H5" s="212"/>
      <c r="I5" s="319" t="s">
        <v>116</v>
      </c>
    </row>
    <row r="6" spans="2:14" ht="18">
      <c r="B6" s="213"/>
      <c r="C6" s="214"/>
      <c r="D6" s="214"/>
      <c r="E6" s="214"/>
      <c r="F6" s="214"/>
      <c r="G6" s="214"/>
      <c r="H6" s="214"/>
      <c r="I6" s="320" t="s">
        <v>271</v>
      </c>
    </row>
    <row r="7" spans="2:14" ht="12.75">
      <c r="B7" s="215" t="s">
        <v>272</v>
      </c>
      <c r="C7" s="216"/>
      <c r="D7" s="217"/>
      <c r="E7" s="216"/>
      <c r="F7" s="218" t="s">
        <v>273</v>
      </c>
      <c r="G7" s="219"/>
      <c r="H7" s="219"/>
      <c r="I7" s="321" t="s">
        <v>119</v>
      </c>
    </row>
    <row r="8" spans="2:14" ht="213.75">
      <c r="B8" s="220" t="str">
        <f>FSUP!A8</f>
        <v>SERVIÇOS TOPOGRÁFICOS E DE APOIO À FISCALIZAÇÃO E SUPERVISÃO TÉCNICA DE INSTRUMENTOS NA ÁREA DE ABRANGÊNCIA DA 2ª SR</v>
      </c>
      <c r="C8" s="221"/>
      <c r="D8" s="221"/>
      <c r="E8" s="221"/>
      <c r="F8" s="222" t="s">
        <v>274</v>
      </c>
      <c r="G8" s="223"/>
      <c r="H8" s="224"/>
      <c r="I8" s="322"/>
    </row>
    <row r="9" spans="2:14" ht="22.5">
      <c r="B9" s="225" t="s">
        <v>169</v>
      </c>
      <c r="C9" s="226" t="s">
        <v>170</v>
      </c>
      <c r="D9" s="227" t="s">
        <v>171</v>
      </c>
      <c r="E9" s="228" t="s">
        <v>275</v>
      </c>
      <c r="F9" s="229" t="s">
        <v>276</v>
      </c>
      <c r="G9" s="230" t="s">
        <v>277</v>
      </c>
      <c r="H9" s="231" t="s">
        <v>278</v>
      </c>
      <c r="I9" s="323"/>
      <c r="J9" s="324"/>
      <c r="K9" s="208"/>
    </row>
    <row r="10" spans="2:14" ht="12.75">
      <c r="B10" s="232"/>
      <c r="C10" s="226"/>
      <c r="D10" s="233"/>
      <c r="E10" s="234"/>
      <c r="F10" s="235"/>
      <c r="G10" s="236"/>
      <c r="H10" s="237" t="s">
        <v>279</v>
      </c>
      <c r="I10" s="325" t="s">
        <v>242</v>
      </c>
      <c r="J10" s="324"/>
      <c r="K10" s="208"/>
    </row>
    <row r="11" spans="2:14" ht="12.75">
      <c r="B11" s="238" t="s">
        <v>280</v>
      </c>
      <c r="C11" s="239"/>
      <c r="D11" s="240"/>
      <c r="E11" s="241" t="s">
        <v>281</v>
      </c>
      <c r="F11" s="241"/>
      <c r="G11" s="241"/>
      <c r="H11" s="241"/>
      <c r="I11" s="326"/>
      <c r="J11" s="327" t="s">
        <v>16</v>
      </c>
      <c r="K11" s="328">
        <v>12</v>
      </c>
      <c r="L11" s="329" t="s">
        <v>17</v>
      </c>
    </row>
    <row r="12" spans="2:14" ht="12.75">
      <c r="B12" s="242" t="s">
        <v>28</v>
      </c>
      <c r="C12" s="243"/>
      <c r="D12" s="244"/>
      <c r="E12" s="245" t="s">
        <v>282</v>
      </c>
      <c r="F12" s="245"/>
      <c r="G12" s="245"/>
      <c r="H12" s="245"/>
      <c r="I12" s="330"/>
      <c r="J12" s="210"/>
      <c r="K12" s="209"/>
    </row>
    <row r="13" spans="2:14" ht="56.25">
      <c r="B13" s="246" t="s">
        <v>30</v>
      </c>
      <c r="C13" s="247" t="s">
        <v>191</v>
      </c>
      <c r="D13" s="248" t="s">
        <v>72</v>
      </c>
      <c r="E13" s="249" t="s">
        <v>283</v>
      </c>
      <c r="F13" s="250" t="s">
        <v>284</v>
      </c>
      <c r="G13" s="251">
        <f>K13*$K$11</f>
        <v>12</v>
      </c>
      <c r="H13" s="252">
        <f>'Memória de Cálculo'!AF31</f>
        <v>3367.61</v>
      </c>
      <c r="I13" s="331">
        <f t="shared" ref="I13:I17" si="0">ROUND(H13*G13,2)</f>
        <v>40411.32</v>
      </c>
      <c r="J13" s="332" t="s">
        <v>285</v>
      </c>
      <c r="K13" s="209">
        <v>1</v>
      </c>
      <c r="N13" s="208">
        <f>8*20*12</f>
        <v>1920</v>
      </c>
    </row>
    <row r="14" spans="2:14" ht="78.75">
      <c r="B14" s="246" t="s">
        <v>35</v>
      </c>
      <c r="C14" s="247" t="s">
        <v>191</v>
      </c>
      <c r="D14" s="248" t="s">
        <v>76</v>
      </c>
      <c r="E14" s="253" t="s">
        <v>286</v>
      </c>
      <c r="F14" s="250" t="s">
        <v>284</v>
      </c>
      <c r="G14" s="251">
        <f>K14*$K$11</f>
        <v>12</v>
      </c>
      <c r="H14" s="252">
        <f>'Memória de Cálculo'!AF39</f>
        <v>13736.17</v>
      </c>
      <c r="I14" s="331">
        <f t="shared" si="0"/>
        <v>164834.04</v>
      </c>
      <c r="J14" s="332" t="s">
        <v>285</v>
      </c>
      <c r="K14" s="209">
        <v>1</v>
      </c>
      <c r="N14" s="208">
        <f>8*22*12</f>
        <v>2112</v>
      </c>
    </row>
    <row r="15" spans="2:14" ht="12.75">
      <c r="B15" s="254" t="s">
        <v>61</v>
      </c>
      <c r="C15" s="255"/>
      <c r="D15" s="255"/>
      <c r="E15" s="256" t="s">
        <v>287</v>
      </c>
      <c r="F15" s="257"/>
      <c r="G15" s="258"/>
      <c r="H15" s="258"/>
      <c r="I15" s="333"/>
      <c r="J15" s="210"/>
      <c r="K15" s="209"/>
    </row>
    <row r="16" spans="2:14" ht="56.25">
      <c r="B16" s="246" t="s">
        <v>63</v>
      </c>
      <c r="C16" s="247" t="s">
        <v>191</v>
      </c>
      <c r="D16" s="248" t="s">
        <v>72</v>
      </c>
      <c r="E16" s="253" t="s">
        <v>283</v>
      </c>
      <c r="F16" s="250" t="s">
        <v>284</v>
      </c>
      <c r="G16" s="251">
        <f>K16*$K$11</f>
        <v>12</v>
      </c>
      <c r="H16" s="252">
        <f>'Memória de Cálculo'!AF31</f>
        <v>3367.61</v>
      </c>
      <c r="I16" s="331">
        <f t="shared" si="0"/>
        <v>40411.32</v>
      </c>
      <c r="J16" s="332" t="s">
        <v>285</v>
      </c>
      <c r="K16" s="209">
        <v>1</v>
      </c>
      <c r="N16" s="208">
        <f>8*15*12</f>
        <v>1440</v>
      </c>
    </row>
    <row r="17" spans="2:14" ht="78.75">
      <c r="B17" s="259" t="s">
        <v>63</v>
      </c>
      <c r="C17" s="247" t="s">
        <v>191</v>
      </c>
      <c r="D17" s="248" t="s">
        <v>76</v>
      </c>
      <c r="E17" s="253" t="s">
        <v>286</v>
      </c>
      <c r="F17" s="250" t="s">
        <v>284</v>
      </c>
      <c r="G17" s="251">
        <f>K17*$K$11</f>
        <v>12</v>
      </c>
      <c r="H17" s="252">
        <f>'Memória de Cálculo'!AF39</f>
        <v>13736.17</v>
      </c>
      <c r="I17" s="331">
        <f t="shared" si="0"/>
        <v>164834.04</v>
      </c>
      <c r="J17" s="332" t="s">
        <v>285</v>
      </c>
      <c r="K17" s="209">
        <v>1</v>
      </c>
    </row>
    <row r="18" spans="2:14" ht="12.75">
      <c r="B18" s="254" t="s">
        <v>195</v>
      </c>
      <c r="C18" s="255"/>
      <c r="D18" s="255"/>
      <c r="E18" s="256" t="s">
        <v>288</v>
      </c>
      <c r="F18" s="257"/>
      <c r="G18" s="258"/>
      <c r="H18" s="258"/>
      <c r="I18" s="333"/>
      <c r="J18" s="210"/>
      <c r="K18" s="209"/>
    </row>
    <row r="19" spans="2:14" ht="56.25">
      <c r="B19" s="246" t="s">
        <v>289</v>
      </c>
      <c r="C19" s="247" t="s">
        <v>191</v>
      </c>
      <c r="D19" s="248" t="s">
        <v>72</v>
      </c>
      <c r="E19" s="253" t="s">
        <v>283</v>
      </c>
      <c r="F19" s="250" t="s">
        <v>284</v>
      </c>
      <c r="G19" s="251">
        <f>K19*$K$11</f>
        <v>12</v>
      </c>
      <c r="H19" s="252">
        <f>'Memória de Cálculo'!AF31</f>
        <v>3367.61</v>
      </c>
      <c r="I19" s="331">
        <f>ROUND(H19*G19,2)</f>
        <v>40411.32</v>
      </c>
      <c r="J19" s="332" t="s">
        <v>285</v>
      </c>
      <c r="K19" s="209">
        <v>1</v>
      </c>
      <c r="N19" s="208">
        <f>8*15*12</f>
        <v>1440</v>
      </c>
    </row>
    <row r="20" spans="2:14" ht="78.75">
      <c r="B20" s="246" t="s">
        <v>290</v>
      </c>
      <c r="C20" s="247" t="s">
        <v>191</v>
      </c>
      <c r="D20" s="248" t="s">
        <v>76</v>
      </c>
      <c r="E20" s="253" t="s">
        <v>286</v>
      </c>
      <c r="F20" s="250" t="s">
        <v>284</v>
      </c>
      <c r="G20" s="251">
        <f>K20*$K$11</f>
        <v>12</v>
      </c>
      <c r="H20" s="252">
        <f>'Memória de Cálculo'!AF39</f>
        <v>13736.17</v>
      </c>
      <c r="I20" s="331">
        <f>ROUND(H20*G20,2)</f>
        <v>164834.04</v>
      </c>
      <c r="J20" s="332" t="s">
        <v>285</v>
      </c>
      <c r="K20" s="209">
        <v>1</v>
      </c>
    </row>
    <row r="21" spans="2:14" ht="12.75">
      <c r="B21" s="260" t="s">
        <v>291</v>
      </c>
      <c r="C21" s="261"/>
      <c r="D21" s="262"/>
      <c r="E21" s="263"/>
      <c r="F21" s="263"/>
      <c r="G21" s="263"/>
      <c r="H21" s="264"/>
      <c r="I21" s="334">
        <f>SUM(I13:I20)</f>
        <v>615736.08000000007</v>
      </c>
      <c r="J21" s="324"/>
    </row>
    <row r="22" spans="2:14" ht="12.75">
      <c r="B22" s="265"/>
      <c r="C22" s="266"/>
      <c r="D22" s="266"/>
      <c r="E22" s="266"/>
      <c r="F22" s="266"/>
      <c r="G22" s="266"/>
      <c r="H22" s="266"/>
      <c r="I22" s="335"/>
      <c r="J22" s="324"/>
    </row>
    <row r="23" spans="2:14" ht="12.75">
      <c r="B23" s="267" t="s">
        <v>292</v>
      </c>
      <c r="C23" s="268"/>
      <c r="D23" s="269"/>
      <c r="E23" s="270" t="s">
        <v>293</v>
      </c>
      <c r="F23" s="271"/>
      <c r="G23" s="272"/>
      <c r="H23" s="273"/>
      <c r="I23" s="336"/>
      <c r="J23" s="324"/>
    </row>
    <row r="24" spans="2:14" ht="12.75">
      <c r="B24" s="274" t="s">
        <v>69</v>
      </c>
      <c r="C24" s="275" t="s">
        <v>59</v>
      </c>
      <c r="D24" s="276" t="s">
        <v>89</v>
      </c>
      <c r="E24" s="277" t="s">
        <v>90</v>
      </c>
      <c r="F24" s="278" t="s">
        <v>91</v>
      </c>
      <c r="G24" s="279">
        <f>6*K24*$K$11</f>
        <v>1152</v>
      </c>
      <c r="H24" s="280">
        <v>45.61</v>
      </c>
      <c r="I24" s="337">
        <f>ROUND(G24*H24,2)</f>
        <v>52542.720000000001</v>
      </c>
      <c r="J24" s="338" t="s">
        <v>294</v>
      </c>
      <c r="K24" s="339">
        <f>SUM('Memória de Cálculo'!AE8:AE14)</f>
        <v>16</v>
      </c>
    </row>
    <row r="25" spans="2:14" ht="12.75">
      <c r="B25" s="281" t="s">
        <v>86</v>
      </c>
      <c r="C25" s="275" t="s">
        <v>59</v>
      </c>
      <c r="D25" s="282" t="s">
        <v>94</v>
      </c>
      <c r="E25" s="283" t="s">
        <v>95</v>
      </c>
      <c r="F25" s="250" t="s">
        <v>96</v>
      </c>
      <c r="G25" s="251">
        <f>'FSUP-I'!I25</f>
        <v>204</v>
      </c>
      <c r="H25" s="284">
        <v>478.1</v>
      </c>
      <c r="I25" s="340">
        <f>ROUND(G25*H25,2)</f>
        <v>97532.4</v>
      </c>
      <c r="J25" s="341"/>
    </row>
    <row r="26" spans="2:14" ht="12.75">
      <c r="B26" s="285" t="s">
        <v>203</v>
      </c>
      <c r="C26" s="275" t="s">
        <v>59</v>
      </c>
      <c r="D26" s="286" t="s">
        <v>98</v>
      </c>
      <c r="E26" s="283" t="s">
        <v>99</v>
      </c>
      <c r="F26" s="250" t="s">
        <v>96</v>
      </c>
      <c r="G26" s="251">
        <f>'FSUP-I'!I25</f>
        <v>204</v>
      </c>
      <c r="H26" s="284">
        <v>128.72</v>
      </c>
      <c r="I26" s="340">
        <f>ROUND(G26*H26,2)</f>
        <v>26258.880000000001</v>
      </c>
      <c r="J26" s="341"/>
      <c r="K26" s="342"/>
      <c r="L26" s="339"/>
    </row>
    <row r="27" spans="2:14" ht="12.75">
      <c r="B27" s="285" t="s">
        <v>253</v>
      </c>
      <c r="C27" s="275" t="s">
        <v>59</v>
      </c>
      <c r="D27" s="286" t="s">
        <v>101</v>
      </c>
      <c r="E27" s="275" t="s">
        <v>102</v>
      </c>
      <c r="F27" s="287" t="s">
        <v>103</v>
      </c>
      <c r="G27" s="251">
        <f>L27*$K$11</f>
        <v>48</v>
      </c>
      <c r="H27" s="288">
        <v>2964.73</v>
      </c>
      <c r="I27" s="340">
        <f>ROUND(G27*H27,2)</f>
        <v>142307.04</v>
      </c>
      <c r="J27" s="343" t="s">
        <v>295</v>
      </c>
      <c r="K27" s="343"/>
      <c r="L27" s="339">
        <v>4</v>
      </c>
    </row>
    <row r="28" spans="2:14" ht="12.75">
      <c r="B28" s="285" t="s">
        <v>255</v>
      </c>
      <c r="C28" s="275" t="s">
        <v>59</v>
      </c>
      <c r="D28" s="282" t="s">
        <v>106</v>
      </c>
      <c r="E28" s="289" t="s">
        <v>107</v>
      </c>
      <c r="F28" s="287" t="s">
        <v>296</v>
      </c>
      <c r="G28" s="251">
        <f>K28*K11</f>
        <v>12</v>
      </c>
      <c r="H28" s="290">
        <v>4496.34</v>
      </c>
      <c r="I28" s="340">
        <f>ROUND(G28*H28,2)</f>
        <v>53956.08</v>
      </c>
      <c r="J28" s="338" t="s">
        <v>297</v>
      </c>
      <c r="K28" s="339">
        <v>1</v>
      </c>
    </row>
    <row r="29" spans="2:14" ht="12.75">
      <c r="B29" s="291" t="s">
        <v>298</v>
      </c>
      <c r="C29" s="292"/>
      <c r="D29" s="293"/>
      <c r="E29" s="292"/>
      <c r="F29" s="294"/>
      <c r="G29" s="294"/>
      <c r="H29" s="295"/>
      <c r="I29" s="344">
        <f>SUM(I24:I28)</f>
        <v>372597.12000000005</v>
      </c>
      <c r="J29" s="324"/>
      <c r="K29" s="342"/>
    </row>
    <row r="30" spans="2:14" ht="12.75">
      <c r="B30" s="296"/>
      <c r="C30" s="297"/>
      <c r="D30" s="297"/>
      <c r="E30" s="297"/>
      <c r="F30" s="297"/>
      <c r="G30" s="297"/>
      <c r="H30" s="297"/>
      <c r="I30" s="345"/>
      <c r="J30" s="341"/>
      <c r="K30" s="342"/>
    </row>
    <row r="31" spans="2:14">
      <c r="B31" s="298" t="s">
        <v>299</v>
      </c>
      <c r="C31" s="299"/>
      <c r="D31" s="300"/>
      <c r="E31" s="299"/>
      <c r="F31" s="301"/>
      <c r="G31" s="301"/>
      <c r="H31" s="302"/>
      <c r="I31" s="346">
        <f>I29+I21</f>
        <v>988333.20000000019</v>
      </c>
      <c r="J31" s="324"/>
      <c r="K31" s="342"/>
    </row>
    <row r="32" spans="2:14" ht="12.75">
      <c r="B32" s="303" t="s">
        <v>150</v>
      </c>
      <c r="C32" s="304"/>
      <c r="D32" s="304"/>
      <c r="E32" s="304"/>
      <c r="F32" s="217" t="s">
        <v>155</v>
      </c>
      <c r="G32" s="304" t="s">
        <v>151</v>
      </c>
      <c r="H32" s="305"/>
      <c r="I32" s="347"/>
      <c r="K32" s="342"/>
    </row>
    <row r="33" spans="2:11" ht="12.75">
      <c r="B33" s="306" t="str">
        <f>FSUP!A46</f>
        <v>JAMILLE ALMEIDA BRITO</v>
      </c>
      <c r="C33" s="307"/>
      <c r="D33" s="307"/>
      <c r="E33" s="307"/>
      <c r="F33" s="308">
        <f>FSUP!N48</f>
        <v>44893</v>
      </c>
      <c r="G33" s="309" t="str">
        <f>FSUP!J46</f>
        <v>ANALISTA EM DESENVOLVIMENTO REGIONAL DA CODEVASF</v>
      </c>
      <c r="H33" s="310"/>
      <c r="I33" s="348"/>
      <c r="K33" s="342"/>
    </row>
    <row r="34" spans="2:11" ht="12.75">
      <c r="B34" s="311" t="s">
        <v>156</v>
      </c>
      <c r="C34" s="312"/>
      <c r="D34" s="312"/>
      <c r="E34" s="312"/>
      <c r="F34" s="312"/>
      <c r="G34" s="312"/>
      <c r="H34" s="312"/>
      <c r="I34" s="349"/>
      <c r="K34" s="342"/>
    </row>
    <row r="35" spans="2:11" ht="12.75">
      <c r="B35" s="313" t="s">
        <v>300</v>
      </c>
      <c r="C35" s="314"/>
      <c r="D35" s="314"/>
      <c r="E35" s="314"/>
      <c r="F35" s="314"/>
      <c r="G35" s="314"/>
      <c r="H35" s="314"/>
      <c r="I35" s="350"/>
      <c r="K35" s="342"/>
    </row>
    <row r="36" spans="2:11" ht="12.75">
      <c r="B36" s="313" t="s">
        <v>301</v>
      </c>
      <c r="C36" s="314"/>
      <c r="D36" s="314"/>
      <c r="E36" s="314"/>
      <c r="F36" s="314"/>
      <c r="G36" s="314"/>
      <c r="H36" s="314"/>
      <c r="I36" s="350"/>
      <c r="K36" s="342"/>
    </row>
    <row r="37" spans="2:11" ht="12.75">
      <c r="B37" s="313" t="s">
        <v>302</v>
      </c>
      <c r="C37" s="314"/>
      <c r="D37" s="314"/>
      <c r="E37" s="314"/>
      <c r="F37" s="314"/>
      <c r="G37" s="314"/>
      <c r="H37" s="314"/>
      <c r="I37" s="350"/>
      <c r="K37" s="342"/>
    </row>
    <row r="38" spans="2:11" ht="12.75">
      <c r="B38" s="313" t="s">
        <v>303</v>
      </c>
      <c r="C38" s="314"/>
      <c r="D38" s="314"/>
      <c r="E38" s="314"/>
      <c r="F38" s="314"/>
      <c r="G38" s="314"/>
      <c r="H38" s="314"/>
      <c r="I38" s="350"/>
      <c r="K38" s="342"/>
    </row>
    <row r="39" spans="2:11" ht="12.75">
      <c r="B39" s="313" t="s">
        <v>304</v>
      </c>
      <c r="C39" s="314"/>
      <c r="D39" s="314"/>
      <c r="E39" s="314"/>
      <c r="F39" s="314"/>
      <c r="G39" s="314"/>
      <c r="H39" s="314"/>
      <c r="I39" s="350"/>
      <c r="K39" s="342"/>
    </row>
    <row r="40" spans="2:11" ht="12.75">
      <c r="B40" s="313" t="s">
        <v>305</v>
      </c>
      <c r="C40" s="314"/>
      <c r="D40" s="314"/>
      <c r="E40" s="314"/>
      <c r="F40" s="314"/>
      <c r="G40" s="314"/>
      <c r="H40" s="314"/>
      <c r="I40" s="350"/>
      <c r="K40" s="342"/>
    </row>
    <row r="41" spans="2:11" ht="12.75">
      <c r="B41" s="315"/>
      <c r="C41" s="316"/>
      <c r="D41" s="317"/>
      <c r="E41" s="316"/>
      <c r="F41" s="316"/>
      <c r="G41" s="316"/>
      <c r="H41" s="316"/>
      <c r="I41" s="351"/>
      <c r="K41" s="342"/>
    </row>
    <row r="42" spans="2:11" ht="12.75"/>
    <row r="43" spans="2:11" ht="12.75"/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showGridLines="0" view="pageBreakPreview" workbookViewId="0">
      <selection activeCell="F21" sqref="F21"/>
    </sheetView>
  </sheetViews>
  <sheetFormatPr defaultColWidth="9.140625" defaultRowHeight="15" customHeight="1"/>
  <cols>
    <col min="1" max="1" width="8.7109375" style="162" customWidth="1"/>
    <col min="2" max="2" width="23.140625" style="162" customWidth="1"/>
    <col min="3" max="3" width="35.7109375" style="162" customWidth="1"/>
    <col min="4" max="4" width="7.140625" style="162" customWidth="1"/>
    <col min="5" max="5" width="4.28515625" style="162" customWidth="1"/>
    <col min="6" max="6" width="11.7109375" style="162" customWidth="1"/>
    <col min="7" max="7" width="9.140625" style="162" hidden="1" customWidth="1"/>
    <col min="8" max="8" width="13.28515625" style="162" customWidth="1"/>
    <col min="9" max="9" width="12.28515625" style="165" customWidth="1"/>
    <col min="10" max="10" width="9.28515625" style="165" customWidth="1"/>
    <col min="11" max="12" width="9.140625" style="165"/>
    <col min="13" max="13" width="11" style="165" customWidth="1"/>
    <col min="14" max="16384" width="9.140625" style="165"/>
  </cols>
  <sheetData>
    <row r="1" spans="1:9" s="161" customFormat="1" ht="11.25">
      <c r="B1" s="166"/>
      <c r="C1" s="167" t="str">
        <f>FSUP!H1</f>
        <v>Ministério de Desenvolvimento Regional - MDR</v>
      </c>
    </row>
    <row r="2" spans="1:9" s="161" customFormat="1" ht="11.25">
      <c r="B2" s="166"/>
      <c r="C2" s="167" t="str">
        <f>FSUP!H2</f>
        <v>Companhia de Desenvolvimento dos Vales do São Francisco e do Parnaíba</v>
      </c>
    </row>
    <row r="3" spans="1:9" s="161" customFormat="1" ht="11.25">
      <c r="B3" s="166"/>
      <c r="C3" s="167" t="str">
        <f>FSUP!H3</f>
        <v>2ª Superintendência Regional da Codevasf</v>
      </c>
    </row>
    <row r="4" spans="1:9" s="161" customFormat="1" ht="11.25"/>
    <row r="5" spans="1:9" ht="11.25">
      <c r="A5" s="879" t="s">
        <v>306</v>
      </c>
      <c r="B5" s="880"/>
      <c r="C5" s="880"/>
      <c r="D5" s="880"/>
      <c r="E5" s="880"/>
      <c r="F5" s="880"/>
      <c r="G5" s="880"/>
      <c r="H5" s="168" t="s">
        <v>116</v>
      </c>
    </row>
    <row r="6" spans="1:9" s="162" customFormat="1" ht="20.100000000000001" customHeight="1">
      <c r="A6" s="881"/>
      <c r="B6" s="882"/>
      <c r="C6" s="882"/>
      <c r="D6" s="882"/>
      <c r="E6" s="882"/>
      <c r="F6" s="882"/>
      <c r="G6" s="882"/>
      <c r="H6" s="169" t="s">
        <v>307</v>
      </c>
    </row>
    <row r="7" spans="1:9" s="162" customFormat="1" ht="13.15" customHeight="1">
      <c r="A7" s="859" t="s">
        <v>118</v>
      </c>
      <c r="B7" s="860"/>
      <c r="C7" s="860"/>
      <c r="D7" s="860"/>
      <c r="E7" s="860"/>
      <c r="F7" s="860"/>
      <c r="G7" s="172"/>
      <c r="H7" s="173" t="s">
        <v>119</v>
      </c>
    </row>
    <row r="8" spans="1:9" s="162" customFormat="1" ht="26.45" customHeight="1">
      <c r="A8" s="861" t="str">
        <f>FSUP!A8</f>
        <v>SERVIÇOS TOPOGRÁFICOS E DE APOIO À FISCALIZAÇÃO E SUPERVISÃO TÉCNICA DE INSTRUMENTOS NA ÁREA DE ABRANGÊNCIA DA 2ª SR</v>
      </c>
      <c r="B8" s="862"/>
      <c r="C8" s="862"/>
      <c r="D8" s="862"/>
      <c r="E8" s="862"/>
      <c r="F8" s="863"/>
      <c r="G8" s="174"/>
      <c r="H8" s="175"/>
    </row>
    <row r="9" spans="1:9" s="163" customFormat="1" ht="26.45" customHeight="1">
      <c r="A9" s="176" t="s">
        <v>308</v>
      </c>
      <c r="B9" s="177" t="s">
        <v>309</v>
      </c>
      <c r="C9" s="864" t="s">
        <v>310</v>
      </c>
      <c r="D9" s="865"/>
      <c r="E9" s="866"/>
      <c r="F9" s="178" t="s">
        <v>311</v>
      </c>
      <c r="G9" s="867" t="s">
        <v>312</v>
      </c>
      <c r="H9" s="868"/>
    </row>
    <row r="10" spans="1:9" ht="33.75">
      <c r="A10" s="179">
        <v>1</v>
      </c>
      <c r="B10" s="180" t="s">
        <v>313</v>
      </c>
      <c r="C10" s="181" t="s">
        <v>314</v>
      </c>
      <c r="D10" s="182"/>
      <c r="E10" s="183"/>
      <c r="F10" s="184">
        <v>30</v>
      </c>
      <c r="G10" s="185" t="e">
        <f>FSUP!#REF!*(1+0.1)*(1+0.1662)</f>
        <v>#REF!</v>
      </c>
      <c r="H10" s="186">
        <f>FSUP!$N$44</f>
        <v>417404.93</v>
      </c>
      <c r="I10" s="206"/>
    </row>
    <row r="11" spans="1:9" ht="33.75">
      <c r="A11" s="179">
        <v>2</v>
      </c>
      <c r="B11" s="180" t="s">
        <v>313</v>
      </c>
      <c r="C11" s="181" t="s">
        <v>315</v>
      </c>
      <c r="D11" s="182"/>
      <c r="E11" s="183"/>
      <c r="F11" s="184">
        <f>F10+30</f>
        <v>60</v>
      </c>
      <c r="G11" s="185" t="e">
        <f>(FSUP!#REF!-FSUP!#REF!*(1+0.1)*(1+0.1662))*8/100</f>
        <v>#REF!</v>
      </c>
      <c r="H11" s="186">
        <f>FSUP!$N$44</f>
        <v>417404.93</v>
      </c>
      <c r="I11" s="206"/>
    </row>
    <row r="12" spans="1:9" ht="33.75">
      <c r="A12" s="179">
        <v>3</v>
      </c>
      <c r="B12" s="180" t="s">
        <v>313</v>
      </c>
      <c r="C12" s="181" t="s">
        <v>316</v>
      </c>
      <c r="D12" s="182"/>
      <c r="E12" s="183"/>
      <c r="F12" s="184">
        <f>F11+30</f>
        <v>90</v>
      </c>
      <c r="G12" s="185" t="e">
        <f>(FSUP!#REF!-FSUP!#REF!*(1+0.1)*(1+0.1662))*5/100</f>
        <v>#REF!</v>
      </c>
      <c r="H12" s="186">
        <f>FSUP!$N$44</f>
        <v>417404.93</v>
      </c>
      <c r="I12" s="206"/>
    </row>
    <row r="13" spans="1:9" ht="33.75">
      <c r="A13" s="179">
        <v>4</v>
      </c>
      <c r="B13" s="180" t="s">
        <v>313</v>
      </c>
      <c r="C13" s="181" t="s">
        <v>317</v>
      </c>
      <c r="D13" s="182"/>
      <c r="E13" s="183"/>
      <c r="F13" s="184">
        <f>F12+30</f>
        <v>120</v>
      </c>
      <c r="G13" s="185" t="e">
        <f>(FSUP!#REF!-FSUP!#REF!*(1+0.1)*(1+0.1662))*7.5/100</f>
        <v>#REF!</v>
      </c>
      <c r="H13" s="186">
        <f>FSUP!$N$44</f>
        <v>417404.93</v>
      </c>
      <c r="I13" s="206"/>
    </row>
    <row r="14" spans="1:9" ht="33.75">
      <c r="A14" s="179">
        <v>5</v>
      </c>
      <c r="B14" s="180" t="s">
        <v>313</v>
      </c>
      <c r="C14" s="181" t="s">
        <v>318</v>
      </c>
      <c r="D14" s="182"/>
      <c r="E14" s="183"/>
      <c r="F14" s="184">
        <f>F13+30</f>
        <v>150</v>
      </c>
      <c r="G14" s="185" t="e">
        <f>(FSUP!#REF!-FSUP!#REF!*(1+0.1)*(1+0.1662))*7.5/100</f>
        <v>#REF!</v>
      </c>
      <c r="H14" s="186">
        <f>FSUP!$N$44</f>
        <v>417404.93</v>
      </c>
      <c r="I14" s="206"/>
    </row>
    <row r="15" spans="1:9" ht="33.75">
      <c r="A15" s="179">
        <v>6</v>
      </c>
      <c r="B15" s="180" t="s">
        <v>313</v>
      </c>
      <c r="C15" s="181" t="s">
        <v>319</v>
      </c>
      <c r="D15" s="182"/>
      <c r="E15" s="183"/>
      <c r="F15" s="184">
        <f t="shared" ref="F15:F21" si="0">F14+30</f>
        <v>180</v>
      </c>
      <c r="G15" s="185" t="e">
        <f>(FSUP!#REF!-FSUP!#REF!*(1+0.1)*(1+0.1662))*9/100</f>
        <v>#REF!</v>
      </c>
      <c r="H15" s="186">
        <f>FSUP!$N$44</f>
        <v>417404.93</v>
      </c>
      <c r="I15" s="206"/>
    </row>
    <row r="16" spans="1:9" ht="33.75">
      <c r="A16" s="179">
        <v>7</v>
      </c>
      <c r="B16" s="180" t="s">
        <v>313</v>
      </c>
      <c r="C16" s="181" t="s">
        <v>320</v>
      </c>
      <c r="D16" s="182"/>
      <c r="E16" s="183"/>
      <c r="F16" s="184">
        <f t="shared" si="0"/>
        <v>210</v>
      </c>
      <c r="G16" s="185" t="e">
        <f>(FSUP!#REF!-FSUP!#REF!*(1+0.1)*(1+0.1662))*9/100</f>
        <v>#REF!</v>
      </c>
      <c r="H16" s="186">
        <f>FSUP!$N$44</f>
        <v>417404.93</v>
      </c>
      <c r="I16" s="206"/>
    </row>
    <row r="17" spans="1:9" ht="33.75">
      <c r="A17" s="179">
        <v>8</v>
      </c>
      <c r="B17" s="180" t="s">
        <v>313</v>
      </c>
      <c r="C17" s="181" t="s">
        <v>321</v>
      </c>
      <c r="D17" s="182"/>
      <c r="E17" s="183"/>
      <c r="F17" s="184">
        <f t="shared" si="0"/>
        <v>240</v>
      </c>
      <c r="G17" s="185" t="e">
        <f>(FSUP!#REF!-FSUP!#REF!*(1+0.1)*(1+0.1662))*9/100</f>
        <v>#REF!</v>
      </c>
      <c r="H17" s="186">
        <f>FSUP!$N$44</f>
        <v>417404.93</v>
      </c>
      <c r="I17" s="206"/>
    </row>
    <row r="18" spans="1:9" ht="33.75">
      <c r="A18" s="179">
        <v>9</v>
      </c>
      <c r="B18" s="180" t="s">
        <v>313</v>
      </c>
      <c r="C18" s="181" t="s">
        <v>322</v>
      </c>
      <c r="D18" s="182"/>
      <c r="E18" s="183"/>
      <c r="F18" s="184">
        <f t="shared" si="0"/>
        <v>270</v>
      </c>
      <c r="G18" s="185" t="e">
        <f>(FSUP!#REF!-FSUP!#REF!*(1+0.1)*(1+0.1662))*9/100</f>
        <v>#REF!</v>
      </c>
      <c r="H18" s="186">
        <f>FSUP!$N$44</f>
        <v>417404.93</v>
      </c>
      <c r="I18" s="206"/>
    </row>
    <row r="19" spans="1:9" ht="33.75">
      <c r="A19" s="187">
        <v>10</v>
      </c>
      <c r="B19" s="180" t="s">
        <v>313</v>
      </c>
      <c r="C19" s="181" t="s">
        <v>323</v>
      </c>
      <c r="D19" s="182"/>
      <c r="E19" s="183"/>
      <c r="F19" s="184">
        <f t="shared" si="0"/>
        <v>300</v>
      </c>
      <c r="G19" s="185" t="e">
        <f>(FSUP!#REF!-FSUP!#REF!*(1+0.1)*(1+0.1662))*9/100</f>
        <v>#REF!</v>
      </c>
      <c r="H19" s="186">
        <f>FSUP!$N$44</f>
        <v>417404.93</v>
      </c>
      <c r="I19" s="206"/>
    </row>
    <row r="20" spans="1:9" ht="33.75">
      <c r="A20" s="179">
        <v>11</v>
      </c>
      <c r="B20" s="180" t="s">
        <v>313</v>
      </c>
      <c r="C20" s="181" t="s">
        <v>324</v>
      </c>
      <c r="D20" s="182"/>
      <c r="E20" s="183"/>
      <c r="F20" s="184">
        <f t="shared" si="0"/>
        <v>330</v>
      </c>
      <c r="G20" s="185" t="e">
        <f>(FSUP!#REF!-FSUP!#REF!*(1+0.1)*(1+0.1662))*9/100</f>
        <v>#REF!</v>
      </c>
      <c r="H20" s="186">
        <f>FSUP!$N$44</f>
        <v>417404.93</v>
      </c>
      <c r="I20" s="206"/>
    </row>
    <row r="21" spans="1:9" ht="33.75">
      <c r="A21" s="179">
        <v>12</v>
      </c>
      <c r="B21" s="180" t="s">
        <v>313</v>
      </c>
      <c r="C21" s="181" t="s">
        <v>325</v>
      </c>
      <c r="D21" s="182"/>
      <c r="E21" s="183"/>
      <c r="F21" s="184">
        <f t="shared" si="0"/>
        <v>360</v>
      </c>
      <c r="G21" s="185"/>
      <c r="H21" s="186">
        <f>FSUP!$N$44</f>
        <v>417404.93</v>
      </c>
      <c r="I21" s="206"/>
    </row>
    <row r="22" spans="1:9" s="164" customFormat="1" ht="19.899999999999999" customHeight="1">
      <c r="A22" s="869" t="s">
        <v>242</v>
      </c>
      <c r="B22" s="870"/>
      <c r="C22" s="870"/>
      <c r="D22" s="870"/>
      <c r="E22" s="870"/>
      <c r="F22" s="870"/>
      <c r="G22" s="188" t="e">
        <f>SUM(G10:G21)</f>
        <v>#REF!</v>
      </c>
      <c r="H22" s="189">
        <f>SUM(H10:H21)</f>
        <v>5008859.16</v>
      </c>
      <c r="I22" s="207"/>
    </row>
    <row r="23" spans="1:9" ht="13.15" customHeight="1">
      <c r="A23" s="871" t="s">
        <v>150</v>
      </c>
      <c r="B23" s="872"/>
      <c r="C23" s="190" t="s">
        <v>151</v>
      </c>
      <c r="D23" s="191"/>
      <c r="E23" s="191"/>
      <c r="F23" s="873" t="s">
        <v>155</v>
      </c>
      <c r="G23" s="873"/>
      <c r="H23" s="874"/>
    </row>
    <row r="24" spans="1:9" ht="13.15" customHeight="1">
      <c r="A24" s="875" t="str">
        <f>FSUP!A46</f>
        <v>JAMILLE ALMEIDA BRITO</v>
      </c>
      <c r="B24" s="876"/>
      <c r="C24" s="192" t="str">
        <f>FSUP!J46</f>
        <v>ANALISTA EM DESENVOLVIMENTO REGIONAL DA CODEVASF</v>
      </c>
      <c r="D24" s="193"/>
      <c r="E24" s="193"/>
      <c r="F24" s="877">
        <f>FSUP!N48</f>
        <v>44893</v>
      </c>
      <c r="G24" s="877"/>
      <c r="H24" s="878"/>
    </row>
    <row r="25" spans="1:9" ht="13.15" customHeight="1">
      <c r="A25" s="170" t="s">
        <v>156</v>
      </c>
      <c r="B25" s="171"/>
      <c r="C25" s="171"/>
      <c r="D25" s="171"/>
      <c r="E25" s="171"/>
      <c r="F25" s="171"/>
      <c r="G25" s="171"/>
      <c r="H25" s="194"/>
    </row>
    <row r="26" spans="1:9" ht="13.15" customHeight="1">
      <c r="A26" s="195"/>
      <c r="B26" s="196"/>
      <c r="C26" s="196"/>
      <c r="D26" s="196"/>
      <c r="E26" s="196"/>
      <c r="F26" s="197"/>
      <c r="G26" s="197"/>
      <c r="H26" s="198"/>
    </row>
    <row r="27" spans="1:9" ht="13.15" customHeight="1">
      <c r="A27" s="199"/>
      <c r="B27" s="200"/>
      <c r="C27" s="200"/>
      <c r="D27" s="200"/>
      <c r="E27" s="200"/>
      <c r="F27" s="200"/>
      <c r="G27" s="200"/>
      <c r="H27" s="201"/>
    </row>
    <row r="28" spans="1:9" ht="13.15" customHeight="1">
      <c r="A28" s="202"/>
      <c r="B28" s="203"/>
      <c r="C28" s="203"/>
      <c r="D28" s="203"/>
      <c r="E28" s="203"/>
      <c r="F28" s="204"/>
      <c r="G28" s="204"/>
      <c r="H28" s="205"/>
    </row>
  </sheetData>
  <mergeCells count="10">
    <mergeCell ref="A23:B23"/>
    <mergeCell ref="F23:H23"/>
    <mergeCell ref="A24:B24"/>
    <mergeCell ref="F24:H24"/>
    <mergeCell ref="A5:G6"/>
    <mergeCell ref="A7:F7"/>
    <mergeCell ref="A8:F8"/>
    <mergeCell ref="C9:E9"/>
    <mergeCell ref="G9:H9"/>
    <mergeCell ref="A22:F22"/>
  </mergeCells>
  <printOptions horizontalCentered="1"/>
  <pageMargins left="0.39370078740157499" right="0.39370078740157499" top="0.78740157480314998" bottom="0.39370078740157499" header="0.196850393700787" footer="0.511811023622047"/>
  <pageSetup paperSize="9" scale="81" firstPageNumber="0" orientation="landscape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/>
  </sheetPr>
  <dimension ref="A1:AG44"/>
  <sheetViews>
    <sheetView view="pageBreakPreview" zoomScale="90" zoomScaleNormal="80" workbookViewId="0">
      <selection activeCell="AG38" sqref="AG38"/>
    </sheetView>
  </sheetViews>
  <sheetFormatPr defaultColWidth="9.140625" defaultRowHeight="12.75"/>
  <cols>
    <col min="1" max="1" width="20.7109375" style="1" customWidth="1"/>
    <col min="2" max="2" width="23" style="1" customWidth="1"/>
    <col min="3" max="7" width="2.5703125" style="1" customWidth="1"/>
    <col min="8" max="8" width="3" style="1" customWidth="1"/>
    <col min="9" max="11" width="2.5703125" style="1" customWidth="1"/>
    <col min="12" max="22" width="3.5703125" style="1" customWidth="1"/>
    <col min="23" max="23" width="7.42578125" style="1" customWidth="1"/>
    <col min="24" max="24" width="7.140625" style="1" customWidth="1"/>
    <col min="25" max="25" width="14" style="1" customWidth="1"/>
    <col min="26" max="26" width="19.140625" style="1" customWidth="1"/>
    <col min="27" max="27" width="15.7109375" style="1" customWidth="1"/>
    <col min="28" max="28" width="9.140625" style="1"/>
    <col min="29" max="29" width="23.7109375" style="2" customWidth="1"/>
    <col min="30" max="30" width="35" style="1" customWidth="1"/>
    <col min="31" max="31" width="15" style="1" customWidth="1"/>
    <col min="32" max="32" width="10.85546875" style="1"/>
    <col min="33" max="33" width="13.42578125" style="87" customWidth="1"/>
  </cols>
  <sheetData>
    <row r="1" spans="1:33" ht="14.25">
      <c r="A1" s="5"/>
      <c r="B1" s="42" t="s">
        <v>0</v>
      </c>
      <c r="D1" s="88"/>
      <c r="AB1" s="81"/>
      <c r="AC1" s="43"/>
      <c r="AD1" s="42" t="s">
        <v>0</v>
      </c>
      <c r="AF1" s="88"/>
    </row>
    <row r="2" spans="1:33">
      <c r="A2" s="6"/>
      <c r="B2" s="45" t="s">
        <v>1</v>
      </c>
      <c r="C2" s="89"/>
      <c r="AB2" s="81"/>
      <c r="AC2" s="81"/>
      <c r="AD2" s="45" t="s">
        <v>1</v>
      </c>
      <c r="AE2" s="89"/>
    </row>
    <row r="3" spans="1:33" s="1" customFormat="1" ht="14.25">
      <c r="A3" s="6"/>
      <c r="B3" s="47" t="s">
        <v>2</v>
      </c>
      <c r="D3" s="90"/>
      <c r="AB3" s="81"/>
      <c r="AC3" s="81"/>
      <c r="AD3" s="47" t="s">
        <v>2</v>
      </c>
      <c r="AF3" s="90"/>
      <c r="AG3" s="87"/>
    </row>
    <row r="4" spans="1:33" s="1" customFormat="1" ht="14.25">
      <c r="A4" s="6"/>
      <c r="B4" s="47"/>
      <c r="D4" s="90"/>
      <c r="AC4" s="2"/>
      <c r="AG4" s="87"/>
    </row>
    <row r="5" spans="1:33" s="1" customFormat="1">
      <c r="A5" s="894" t="s">
        <v>8</v>
      </c>
      <c r="B5" s="897" t="s">
        <v>326</v>
      </c>
      <c r="C5" s="883" t="s">
        <v>327</v>
      </c>
      <c r="D5" s="884"/>
      <c r="E5" s="884"/>
      <c r="F5" s="884"/>
      <c r="G5" s="884"/>
      <c r="H5" s="884"/>
      <c r="I5" s="884"/>
      <c r="J5" s="884"/>
      <c r="K5" s="884"/>
      <c r="L5" s="884"/>
      <c r="M5" s="884"/>
      <c r="N5" s="884"/>
      <c r="O5" s="884"/>
      <c r="P5" s="884"/>
      <c r="Q5" s="884"/>
      <c r="R5" s="884"/>
      <c r="S5" s="884"/>
      <c r="T5" s="884"/>
      <c r="U5" s="884"/>
      <c r="V5" s="884"/>
      <c r="W5" s="885"/>
      <c r="X5" s="885"/>
      <c r="Y5" s="905" t="s">
        <v>328</v>
      </c>
      <c r="Z5" s="906"/>
      <c r="AA5" s="900" t="s">
        <v>329</v>
      </c>
      <c r="AC5" s="909" t="s">
        <v>330</v>
      </c>
      <c r="AD5" s="910"/>
      <c r="AE5" s="910"/>
      <c r="AF5" s="911"/>
      <c r="AG5" s="87"/>
    </row>
    <row r="6" spans="1:33" s="1" customFormat="1" ht="33.950000000000003" customHeight="1">
      <c r="A6" s="895"/>
      <c r="B6" s="898"/>
      <c r="C6" s="886" t="s">
        <v>331</v>
      </c>
      <c r="D6" s="886"/>
      <c r="E6" s="886"/>
      <c r="F6" s="886"/>
      <c r="G6" s="886"/>
      <c r="H6" s="886" t="s">
        <v>332</v>
      </c>
      <c r="I6" s="886"/>
      <c r="J6" s="886"/>
      <c r="K6" s="886"/>
      <c r="L6" s="886"/>
      <c r="M6" s="886" t="s">
        <v>333</v>
      </c>
      <c r="N6" s="886"/>
      <c r="O6" s="886"/>
      <c r="P6" s="886"/>
      <c r="Q6" s="886"/>
      <c r="R6" s="886" t="s">
        <v>334</v>
      </c>
      <c r="S6" s="886"/>
      <c r="T6" s="886"/>
      <c r="U6" s="886"/>
      <c r="V6" s="886"/>
      <c r="W6" s="887" t="s">
        <v>335</v>
      </c>
      <c r="X6" s="887"/>
      <c r="Y6" s="907"/>
      <c r="Z6" s="908"/>
      <c r="AA6" s="901"/>
      <c r="AC6" s="912"/>
      <c r="AD6" s="913"/>
      <c r="AE6" s="913"/>
      <c r="AF6" s="914"/>
      <c r="AG6" s="87"/>
    </row>
    <row r="7" spans="1:33" s="1" customFormat="1">
      <c r="A7" s="896"/>
      <c r="B7" s="899"/>
      <c r="C7" s="91">
        <v>1</v>
      </c>
      <c r="D7" s="91">
        <v>2</v>
      </c>
      <c r="E7" s="91">
        <v>3</v>
      </c>
      <c r="F7" s="91">
        <v>4</v>
      </c>
      <c r="G7" s="91">
        <v>5</v>
      </c>
      <c r="H7" s="91">
        <v>6</v>
      </c>
      <c r="I7" s="91">
        <v>7</v>
      </c>
      <c r="J7" s="91">
        <v>8</v>
      </c>
      <c r="K7" s="91">
        <v>9</v>
      </c>
      <c r="L7" s="91">
        <v>10</v>
      </c>
      <c r="M7" s="91">
        <v>11</v>
      </c>
      <c r="N7" s="91">
        <v>12</v>
      </c>
      <c r="O7" s="91">
        <v>13</v>
      </c>
      <c r="P7" s="91">
        <v>14</v>
      </c>
      <c r="Q7" s="91">
        <v>15</v>
      </c>
      <c r="R7" s="91">
        <v>16</v>
      </c>
      <c r="S7" s="91">
        <v>17</v>
      </c>
      <c r="T7" s="91">
        <v>18</v>
      </c>
      <c r="U7" s="91">
        <v>19</v>
      </c>
      <c r="V7" s="91">
        <v>20</v>
      </c>
      <c r="W7" s="91">
        <v>21</v>
      </c>
      <c r="X7" s="109">
        <v>22</v>
      </c>
      <c r="Y7" s="114" t="s">
        <v>336</v>
      </c>
      <c r="Z7" s="109" t="s">
        <v>337</v>
      </c>
      <c r="AA7" s="115" t="s">
        <v>337</v>
      </c>
      <c r="AC7" s="116" t="s">
        <v>338</v>
      </c>
      <c r="AD7" s="117" t="s">
        <v>9</v>
      </c>
      <c r="AE7" s="117" t="s">
        <v>11</v>
      </c>
      <c r="AF7" s="118" t="s">
        <v>10</v>
      </c>
      <c r="AG7" s="87"/>
    </row>
    <row r="8" spans="1:33" s="1" customFormat="1">
      <c r="A8" s="92">
        <v>1</v>
      </c>
      <c r="B8" s="93" t="s">
        <v>339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110"/>
      <c r="Y8" s="119"/>
      <c r="Z8" s="110"/>
      <c r="AA8" s="120"/>
      <c r="AC8" s="902" t="s">
        <v>340</v>
      </c>
      <c r="AD8" s="96" t="s">
        <v>192</v>
      </c>
      <c r="AE8" s="96">
        <f>'FSUP-I'!N14</f>
        <v>4</v>
      </c>
      <c r="AF8" s="121" t="s">
        <v>341</v>
      </c>
      <c r="AG8" s="87"/>
    </row>
    <row r="9" spans="1:33" s="1" customFormat="1">
      <c r="A9" s="95" t="s">
        <v>28</v>
      </c>
      <c r="B9" s="96" t="s">
        <v>249</v>
      </c>
      <c r="C9" s="97" t="s">
        <v>342</v>
      </c>
      <c r="D9" s="97"/>
      <c r="E9" s="97"/>
      <c r="F9" s="97"/>
      <c r="G9" s="97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111"/>
      <c r="Y9" s="122">
        <f>22-Z9</f>
        <v>17</v>
      </c>
      <c r="Z9" s="123">
        <v>5</v>
      </c>
      <c r="AA9" s="124">
        <v>4</v>
      </c>
      <c r="AC9" s="903"/>
      <c r="AD9" s="96" t="s">
        <v>343</v>
      </c>
      <c r="AE9" s="96">
        <f>'FSUP-I'!N15</f>
        <v>1</v>
      </c>
      <c r="AF9" s="121" t="s">
        <v>341</v>
      </c>
      <c r="AG9" s="87"/>
    </row>
    <row r="10" spans="1:33" s="1" customFormat="1">
      <c r="A10" s="95" t="s">
        <v>61</v>
      </c>
      <c r="B10" s="96" t="s">
        <v>192</v>
      </c>
      <c r="C10" s="98"/>
      <c r="D10" s="98"/>
      <c r="E10" s="98"/>
      <c r="F10" s="98"/>
      <c r="G10" s="98"/>
      <c r="H10" s="97" t="s">
        <v>344</v>
      </c>
      <c r="I10" s="97"/>
      <c r="J10" s="97"/>
      <c r="K10" s="97"/>
      <c r="L10" s="97"/>
      <c r="M10" s="97"/>
      <c r="N10" s="97"/>
      <c r="O10" s="97"/>
      <c r="P10" s="97"/>
      <c r="Q10" s="97"/>
      <c r="R10" s="98"/>
      <c r="S10" s="98"/>
      <c r="T10" s="97" t="s">
        <v>345</v>
      </c>
      <c r="U10" s="97"/>
      <c r="V10" s="97"/>
      <c r="W10" s="97"/>
      <c r="X10" s="112"/>
      <c r="Y10" s="122">
        <v>7</v>
      </c>
      <c r="Z10" s="123">
        <v>15</v>
      </c>
      <c r="AA10" s="124">
        <f>4*3</f>
        <v>12</v>
      </c>
      <c r="AC10" s="903"/>
      <c r="AD10" s="96" t="s">
        <v>346</v>
      </c>
      <c r="AE10" s="96">
        <f>'FSUP-I'!N17</f>
        <v>1</v>
      </c>
      <c r="AF10" s="121" t="s">
        <v>341</v>
      </c>
      <c r="AG10" s="87"/>
    </row>
    <row r="11" spans="1:33" s="1" customFormat="1">
      <c r="A11" s="95" t="s">
        <v>195</v>
      </c>
      <c r="B11" s="96" t="s">
        <v>343</v>
      </c>
      <c r="C11" s="98"/>
      <c r="D11" s="98"/>
      <c r="E11" s="98"/>
      <c r="F11" s="98"/>
      <c r="G11" s="98"/>
      <c r="H11" s="97" t="s">
        <v>344</v>
      </c>
      <c r="I11" s="97"/>
      <c r="J11" s="97"/>
      <c r="K11" s="97"/>
      <c r="L11" s="97"/>
      <c r="M11" s="97"/>
      <c r="N11" s="97"/>
      <c r="O11" s="97"/>
      <c r="P11" s="97"/>
      <c r="Q11" s="97"/>
      <c r="R11" s="98"/>
      <c r="S11" s="98"/>
      <c r="T11" s="97" t="s">
        <v>345</v>
      </c>
      <c r="U11" s="97"/>
      <c r="V11" s="97"/>
      <c r="W11" s="97"/>
      <c r="X11" s="112"/>
      <c r="Y11" s="122">
        <f>22-Z11</f>
        <v>7</v>
      </c>
      <c r="Z11" s="123">
        <v>15</v>
      </c>
      <c r="AA11" s="124">
        <f>4*3</f>
        <v>12</v>
      </c>
      <c r="AC11" s="903"/>
      <c r="AD11" s="96" t="s">
        <v>47</v>
      </c>
      <c r="AE11" s="96">
        <f>'FSUP-I'!N18</f>
        <v>4</v>
      </c>
      <c r="AF11" s="121" t="s">
        <v>341</v>
      </c>
      <c r="AG11" s="87"/>
    </row>
    <row r="12" spans="1:33" s="1" customFormat="1">
      <c r="A12" s="95" t="s">
        <v>347</v>
      </c>
      <c r="B12" s="96" t="s">
        <v>346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111"/>
      <c r="Y12" s="122">
        <f t="shared" ref="Y12:Y16" si="0">22-Z12</f>
        <v>22</v>
      </c>
      <c r="Z12" s="123">
        <v>0</v>
      </c>
      <c r="AA12" s="124">
        <v>0</v>
      </c>
      <c r="AC12" s="903"/>
      <c r="AD12" s="96" t="s">
        <v>50</v>
      </c>
      <c r="AE12" s="96">
        <f>'FSUP-I'!N19</f>
        <v>4</v>
      </c>
      <c r="AF12" s="121" t="s">
        <v>341</v>
      </c>
      <c r="AG12" s="87"/>
    </row>
    <row r="13" spans="1:33" s="1" customFormat="1">
      <c r="A13" s="95" t="s">
        <v>348</v>
      </c>
      <c r="B13" s="96" t="s">
        <v>47</v>
      </c>
      <c r="C13" s="97" t="s">
        <v>349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 t="s">
        <v>345</v>
      </c>
      <c r="U13" s="97"/>
      <c r="V13" s="97"/>
      <c r="W13" s="97"/>
      <c r="X13" s="112"/>
      <c r="Y13" s="122">
        <f t="shared" si="0"/>
        <v>0</v>
      </c>
      <c r="Z13" s="123">
        <v>22</v>
      </c>
      <c r="AA13" s="124">
        <f>4*4+1</f>
        <v>17</v>
      </c>
      <c r="AC13" s="903"/>
      <c r="AD13" s="96" t="s">
        <v>350</v>
      </c>
      <c r="AE13" s="96">
        <f>'FSUP-I'!N21</f>
        <v>1</v>
      </c>
      <c r="AF13" s="121" t="s">
        <v>341</v>
      </c>
      <c r="AG13" s="87"/>
    </row>
    <row r="14" spans="1:33" s="1" customFormat="1">
      <c r="A14" s="95" t="s">
        <v>351</v>
      </c>
      <c r="B14" s="96" t="s">
        <v>50</v>
      </c>
      <c r="C14" s="97" t="s">
        <v>349</v>
      </c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 t="s">
        <v>345</v>
      </c>
      <c r="U14" s="97"/>
      <c r="V14" s="97"/>
      <c r="W14" s="97"/>
      <c r="X14" s="112"/>
      <c r="Y14" s="122">
        <f t="shared" si="0"/>
        <v>0</v>
      </c>
      <c r="Z14" s="123">
        <v>22</v>
      </c>
      <c r="AA14" s="124">
        <f>4*4+1</f>
        <v>17</v>
      </c>
      <c r="AC14" s="903"/>
      <c r="AD14" s="96" t="s">
        <v>56</v>
      </c>
      <c r="AE14" s="96">
        <f>'FSUP-I'!N22</f>
        <v>1</v>
      </c>
      <c r="AF14" s="121" t="s">
        <v>341</v>
      </c>
      <c r="AG14" s="87"/>
    </row>
    <row r="15" spans="1:33" s="1" customFormat="1">
      <c r="A15" s="95" t="s">
        <v>352</v>
      </c>
      <c r="B15" s="96" t="s">
        <v>350</v>
      </c>
      <c r="C15" s="97" t="s">
        <v>353</v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112"/>
      <c r="Y15" s="122">
        <f t="shared" si="0"/>
        <v>0</v>
      </c>
      <c r="Z15" s="123">
        <v>22</v>
      </c>
      <c r="AA15" s="124">
        <f>4*4+1</f>
        <v>17</v>
      </c>
      <c r="AC15" s="903"/>
      <c r="AD15" s="96" t="s">
        <v>60</v>
      </c>
      <c r="AE15" s="96">
        <f>'FSUP-I'!N23</f>
        <v>1</v>
      </c>
      <c r="AF15" s="121" t="s">
        <v>341</v>
      </c>
      <c r="AG15" s="87"/>
    </row>
    <row r="16" spans="1:33" s="1" customFormat="1">
      <c r="A16" s="95" t="s">
        <v>354</v>
      </c>
      <c r="B16" s="96" t="s">
        <v>56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111"/>
      <c r="Y16" s="122">
        <f t="shared" si="0"/>
        <v>22</v>
      </c>
      <c r="Z16" s="123">
        <v>0</v>
      </c>
      <c r="AA16" s="124">
        <v>0</v>
      </c>
      <c r="AC16" s="125" t="s">
        <v>62</v>
      </c>
      <c r="AD16" s="96" t="s">
        <v>65</v>
      </c>
      <c r="AE16" s="126">
        <f>'FSUP-II'!G23</f>
        <v>210</v>
      </c>
      <c r="AF16" s="121" t="s">
        <v>341</v>
      </c>
      <c r="AG16" s="87"/>
    </row>
    <row r="17" spans="1:33" s="1" customFormat="1">
      <c r="A17" s="99" t="s">
        <v>355</v>
      </c>
      <c r="B17" s="100" t="s">
        <v>60</v>
      </c>
      <c r="C17" s="97" t="s">
        <v>356</v>
      </c>
      <c r="D17" s="97"/>
      <c r="E17" s="98"/>
      <c r="F17" s="98"/>
      <c r="G17" s="98"/>
      <c r="H17" s="97" t="s">
        <v>356</v>
      </c>
      <c r="I17" s="97"/>
      <c r="J17" s="98"/>
      <c r="K17" s="98"/>
      <c r="L17" s="98"/>
      <c r="M17" s="97" t="s">
        <v>356</v>
      </c>
      <c r="N17" s="97"/>
      <c r="O17" s="98"/>
      <c r="P17" s="98"/>
      <c r="Q17" s="98"/>
      <c r="R17" s="97" t="s">
        <v>356</v>
      </c>
      <c r="S17" s="97"/>
      <c r="T17" s="98"/>
      <c r="U17" s="98"/>
      <c r="V17" s="98"/>
      <c r="W17" s="97" t="s">
        <v>356</v>
      </c>
      <c r="X17" s="97"/>
      <c r="Y17" s="122">
        <v>8</v>
      </c>
      <c r="Z17" s="123">
        <f>22-Y17</f>
        <v>14</v>
      </c>
      <c r="AA17" s="124">
        <v>5</v>
      </c>
      <c r="AC17" s="902" t="s">
        <v>357</v>
      </c>
      <c r="AD17" s="96" t="s">
        <v>358</v>
      </c>
      <c r="AE17" s="96">
        <f>'FSUP-III'!K13+'FSUP-III'!K16+'FSUP-III'!K19</f>
        <v>3</v>
      </c>
      <c r="AF17" s="121" t="s">
        <v>341</v>
      </c>
      <c r="AG17" s="87"/>
    </row>
    <row r="18" spans="1:33" s="1" customFormat="1">
      <c r="A18" s="92">
        <v>2</v>
      </c>
      <c r="B18" s="93" t="s">
        <v>359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110"/>
      <c r="Y18" s="119"/>
      <c r="Z18" s="110"/>
      <c r="AA18" s="120"/>
      <c r="AC18" s="903"/>
      <c r="AD18" s="96" t="s">
        <v>360</v>
      </c>
      <c r="AE18" s="96">
        <f>'FSUP-III'!K14+'FSUP-III'!K17+'FSUP-III'!K20</f>
        <v>3</v>
      </c>
      <c r="AF18" s="121" t="s">
        <v>341</v>
      </c>
      <c r="AG18" s="87"/>
    </row>
    <row r="19" spans="1:33" s="1" customFormat="1">
      <c r="A19" s="95" t="s">
        <v>69</v>
      </c>
      <c r="B19" s="96" t="s">
        <v>192</v>
      </c>
      <c r="C19" s="98"/>
      <c r="D19" s="98"/>
      <c r="E19" s="98"/>
      <c r="F19" s="98"/>
      <c r="G19" s="98"/>
      <c r="H19" s="97" t="s">
        <v>344</v>
      </c>
      <c r="I19" s="97"/>
      <c r="J19" s="97"/>
      <c r="K19" s="97"/>
      <c r="L19" s="97"/>
      <c r="M19" s="97"/>
      <c r="N19" s="97"/>
      <c r="O19" s="97"/>
      <c r="P19" s="97"/>
      <c r="Q19" s="97"/>
      <c r="R19" s="98"/>
      <c r="S19" s="98"/>
      <c r="T19" s="97" t="s">
        <v>345</v>
      </c>
      <c r="U19" s="97"/>
      <c r="V19" s="97"/>
      <c r="W19" s="97"/>
      <c r="X19" s="112"/>
      <c r="Y19" s="122">
        <v>7</v>
      </c>
      <c r="Z19" s="123">
        <v>15</v>
      </c>
      <c r="AA19" s="124">
        <f>4*3</f>
        <v>12</v>
      </c>
      <c r="AC19" s="903"/>
      <c r="AD19" s="96" t="s">
        <v>361</v>
      </c>
      <c r="AE19" s="96">
        <f>'FSUP-III'!L27</f>
        <v>4</v>
      </c>
      <c r="AF19" s="121" t="s">
        <v>341</v>
      </c>
      <c r="AG19" s="87"/>
    </row>
    <row r="20" spans="1:33" s="1" customFormat="1">
      <c r="A20" s="92">
        <v>3</v>
      </c>
      <c r="B20" s="93" t="s">
        <v>362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110"/>
      <c r="Y20" s="119"/>
      <c r="Z20" s="110"/>
      <c r="AA20" s="120"/>
      <c r="AC20" s="903"/>
      <c r="AD20" s="96" t="s">
        <v>363</v>
      </c>
      <c r="AE20" s="96">
        <f>'FSUP-III'!K28</f>
        <v>1</v>
      </c>
      <c r="AF20" s="121" t="s">
        <v>341</v>
      </c>
      <c r="AG20" s="87"/>
    </row>
    <row r="21" spans="1:33" s="1" customFormat="1">
      <c r="A21" s="101" t="s">
        <v>207</v>
      </c>
      <c r="B21" s="102" t="s">
        <v>192</v>
      </c>
      <c r="C21" s="103"/>
      <c r="D21" s="103"/>
      <c r="E21" s="103"/>
      <c r="F21" s="103"/>
      <c r="G21" s="103"/>
      <c r="H21" s="104" t="s">
        <v>344</v>
      </c>
      <c r="I21" s="104"/>
      <c r="J21" s="104"/>
      <c r="K21" s="104"/>
      <c r="L21" s="104"/>
      <c r="M21" s="104"/>
      <c r="N21" s="104"/>
      <c r="O21" s="104"/>
      <c r="P21" s="104"/>
      <c r="Q21" s="104"/>
      <c r="R21" s="103"/>
      <c r="S21" s="103"/>
      <c r="T21" s="104" t="s">
        <v>345</v>
      </c>
      <c r="U21" s="104"/>
      <c r="V21" s="104"/>
      <c r="W21" s="104"/>
      <c r="X21" s="113"/>
      <c r="Y21" s="127">
        <v>7</v>
      </c>
      <c r="Z21" s="128">
        <v>15</v>
      </c>
      <c r="AA21" s="129">
        <f>4*3</f>
        <v>12</v>
      </c>
      <c r="AC21" s="902" t="s">
        <v>364</v>
      </c>
      <c r="AD21" s="96" t="s">
        <v>365</v>
      </c>
      <c r="AE21" s="96">
        <v>1</v>
      </c>
      <c r="AF21" s="121" t="s">
        <v>341</v>
      </c>
      <c r="AG21" s="87"/>
    </row>
    <row r="22" spans="1:33" s="1" customFormat="1">
      <c r="A22" s="105" t="s">
        <v>366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130"/>
      <c r="AA22" s="131"/>
      <c r="AC22" s="903"/>
      <c r="AD22" s="96" t="s">
        <v>367</v>
      </c>
      <c r="AE22" s="96">
        <v>1</v>
      </c>
      <c r="AF22" s="121" t="s">
        <v>341</v>
      </c>
      <c r="AG22" s="87"/>
    </row>
    <row r="23" spans="1:33" s="1" customFormat="1">
      <c r="A23" s="106"/>
      <c r="B23" s="1" t="s">
        <v>368</v>
      </c>
      <c r="AA23" s="46"/>
      <c r="AC23" s="904"/>
      <c r="AD23" s="102" t="s">
        <v>336</v>
      </c>
      <c r="AE23" s="102">
        <v>1</v>
      </c>
      <c r="AF23" s="132" t="s">
        <v>341</v>
      </c>
      <c r="AG23" s="87"/>
    </row>
    <row r="24" spans="1:33" s="1" customFormat="1">
      <c r="A24" s="107"/>
      <c r="B24" s="108" t="s">
        <v>369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86"/>
      <c r="AC24" s="133"/>
      <c r="AD24" s="81"/>
      <c r="AE24" s="81"/>
      <c r="AF24" s="81"/>
      <c r="AG24" s="87"/>
    </row>
    <row r="25" spans="1:33">
      <c r="AC25" s="134"/>
      <c r="AD25" s="43"/>
      <c r="AE25" s="43"/>
      <c r="AF25" s="44"/>
    </row>
    <row r="26" spans="1:33" ht="15.75">
      <c r="AC26" s="888" t="s">
        <v>370</v>
      </c>
      <c r="AD26" s="889"/>
      <c r="AE26" s="889"/>
      <c r="AF26" s="890"/>
      <c r="AG26" s="135"/>
    </row>
    <row r="27" spans="1:33" ht="15.75">
      <c r="AC27" s="136"/>
      <c r="AD27" s="137"/>
      <c r="AE27" s="138"/>
      <c r="AF27" s="139"/>
      <c r="AG27" s="157"/>
    </row>
    <row r="28" spans="1:33" ht="15.75">
      <c r="AC28" s="140"/>
      <c r="AD28" s="141" t="s">
        <v>371</v>
      </c>
      <c r="AE28" s="141" t="s">
        <v>372</v>
      </c>
      <c r="AF28" s="142" t="s">
        <v>26</v>
      </c>
    </row>
    <row r="29" spans="1:33" ht="15.75">
      <c r="AC29" s="143" t="s">
        <v>373</v>
      </c>
      <c r="AD29" s="144">
        <v>66</v>
      </c>
      <c r="AE29" s="145">
        <v>40.961599999999997</v>
      </c>
      <c r="AF29" s="146">
        <f>AD29*AE29</f>
        <v>2703.4656</v>
      </c>
      <c r="AG29" s="158">
        <f>AD29/$AD$31</f>
        <v>0.36166365280289298</v>
      </c>
    </row>
    <row r="30" spans="1:33" ht="15.75">
      <c r="AC30" s="143" t="s">
        <v>374</v>
      </c>
      <c r="AD30" s="144">
        <v>116.49</v>
      </c>
      <c r="AE30" s="145">
        <v>5.7012999999999998</v>
      </c>
      <c r="AF30" s="146">
        <f>AD30*AE30</f>
        <v>664.14443700000004</v>
      </c>
      <c r="AG30" s="158">
        <f>AD30/$AD$31</f>
        <v>0.63833634719710697</v>
      </c>
    </row>
    <row r="31" spans="1:33" ht="25.5">
      <c r="AC31" s="147" t="s">
        <v>375</v>
      </c>
      <c r="AD31" s="148">
        <f>AD29+AD30</f>
        <v>182.49</v>
      </c>
      <c r="AE31" s="138"/>
      <c r="AF31" s="149">
        <f>ROUND(AF29+AF30,2)</f>
        <v>3367.61</v>
      </c>
    </row>
    <row r="32" spans="1:33" ht="15.75">
      <c r="AC32" s="136"/>
      <c r="AD32" s="137"/>
      <c r="AE32" s="138"/>
      <c r="AF32" s="139"/>
      <c r="AG32" s="157"/>
    </row>
    <row r="33" spans="29:33" ht="15.75">
      <c r="AC33" s="136"/>
      <c r="AD33" s="137"/>
      <c r="AE33" s="138"/>
      <c r="AF33" s="139"/>
      <c r="AG33" s="157"/>
    </row>
    <row r="34" spans="29:33" ht="15.75">
      <c r="AC34" s="888" t="s">
        <v>376</v>
      </c>
      <c r="AD34" s="889"/>
      <c r="AE34" s="889"/>
      <c r="AF34" s="890"/>
      <c r="AG34" s="159"/>
    </row>
    <row r="35" spans="29:33" ht="15.75">
      <c r="AC35" s="136"/>
      <c r="AD35" s="137"/>
      <c r="AE35" s="138"/>
      <c r="AF35" s="139"/>
      <c r="AG35" s="157"/>
    </row>
    <row r="36" spans="29:33" ht="15.75">
      <c r="AC36" s="140"/>
      <c r="AD36" s="141" t="s">
        <v>371</v>
      </c>
      <c r="AE36" s="141" t="s">
        <v>372</v>
      </c>
      <c r="AF36" s="142" t="s">
        <v>26</v>
      </c>
    </row>
    <row r="37" spans="29:33" ht="15.75">
      <c r="AC37" s="143" t="s">
        <v>373</v>
      </c>
      <c r="AD37" s="144">
        <v>66</v>
      </c>
      <c r="AE37" s="150">
        <v>117.0562</v>
      </c>
      <c r="AF37" s="146">
        <f>AD37*AE37</f>
        <v>7725.7092000000002</v>
      </c>
      <c r="AG37" s="158">
        <f>AD37/$AD$31</f>
        <v>0.36166365280289298</v>
      </c>
    </row>
    <row r="38" spans="29:33" ht="15.75">
      <c r="AC38" s="143" t="s">
        <v>374</v>
      </c>
      <c r="AD38" s="144">
        <v>116.49</v>
      </c>
      <c r="AE38" s="151">
        <v>51.596400000000003</v>
      </c>
      <c r="AF38" s="146">
        <f>AD38*AE38</f>
        <v>6010.4646359999997</v>
      </c>
      <c r="AG38" s="158">
        <f>AD38/$AD$31</f>
        <v>0.63833634719710697</v>
      </c>
    </row>
    <row r="39" spans="29:33" ht="25.5">
      <c r="AC39" s="152" t="s">
        <v>375</v>
      </c>
      <c r="AD39" s="148">
        <f>AD37+AD38</f>
        <v>182.49</v>
      </c>
      <c r="AE39" s="138"/>
      <c r="AF39" s="149">
        <f>ROUND(AF37+AF38,2)</f>
        <v>13736.17</v>
      </c>
    </row>
    <row r="40" spans="29:33">
      <c r="AC40" s="153"/>
      <c r="AD40" s="154"/>
      <c r="AE40" s="81"/>
      <c r="AF40" s="46"/>
      <c r="AG40" s="160"/>
    </row>
    <row r="41" spans="29:33">
      <c r="AC41" s="153"/>
      <c r="AD41" s="154"/>
      <c r="AE41" s="81"/>
      <c r="AF41" s="46"/>
      <c r="AG41" s="160"/>
    </row>
    <row r="42" spans="29:33">
      <c r="AC42" s="891" t="s">
        <v>377</v>
      </c>
      <c r="AD42" s="892"/>
      <c r="AE42" s="892"/>
      <c r="AF42" s="893"/>
    </row>
    <row r="44" spans="29:33" s="1" customFormat="1">
      <c r="AC44" s="133"/>
      <c r="AD44" s="155"/>
      <c r="AE44" s="156"/>
      <c r="AF44" s="156"/>
      <c r="AG44" s="156"/>
    </row>
  </sheetData>
  <mergeCells count="17">
    <mergeCell ref="AC26:AF26"/>
    <mergeCell ref="AC34:AF34"/>
    <mergeCell ref="AC42:AF42"/>
    <mergeCell ref="A5:A7"/>
    <mergeCell ref="B5:B7"/>
    <mergeCell ref="AA5:AA6"/>
    <mergeCell ref="AC8:AC15"/>
    <mergeCell ref="AC17:AC20"/>
    <mergeCell ref="AC21:AC23"/>
    <mergeCell ref="Y5:Z6"/>
    <mergeCell ref="AC5:AF6"/>
    <mergeCell ref="C5:X5"/>
    <mergeCell ref="C6:G6"/>
    <mergeCell ref="H6:L6"/>
    <mergeCell ref="M6:Q6"/>
    <mergeCell ref="R6:V6"/>
    <mergeCell ref="W6:X6"/>
  </mergeCells>
  <pageMargins left="0.75" right="0.75" top="1" bottom="1" header="0.5" footer="0.5"/>
  <pageSetup paperSize="9" scale="51" orientation="portrait" r:id="rId1"/>
  <colBreaks count="2" manualBreakCount="2">
    <brk id="27" max="1048575" man="1"/>
    <brk id="3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70C0"/>
  </sheetPr>
  <dimension ref="A1:E27"/>
  <sheetViews>
    <sheetView view="pageBreakPreview" topLeftCell="A6" workbookViewId="0">
      <selection activeCell="K18" sqref="K18"/>
    </sheetView>
  </sheetViews>
  <sheetFormatPr defaultColWidth="9.140625" defaultRowHeight="12.75"/>
  <cols>
    <col min="1" max="1" width="14.42578125" customWidth="1"/>
    <col min="2" max="2" width="46.5703125" customWidth="1"/>
    <col min="3" max="3" width="15" customWidth="1"/>
    <col min="4" max="4" width="13.7109375" customWidth="1"/>
    <col min="5" max="5" width="11" customWidth="1"/>
  </cols>
  <sheetData>
    <row r="1" spans="1:5" s="1" customFormat="1">
      <c r="A1" s="5"/>
      <c r="B1" s="42" t="s">
        <v>0</v>
      </c>
      <c r="C1" s="43"/>
      <c r="D1" s="43"/>
      <c r="E1" s="44"/>
    </row>
    <row r="2" spans="1:5" s="1" customFormat="1">
      <c r="A2" s="6"/>
      <c r="B2" s="45" t="s">
        <v>1</v>
      </c>
      <c r="E2" s="46"/>
    </row>
    <row r="3" spans="1:5" s="1" customFormat="1">
      <c r="A3" s="6"/>
      <c r="B3" s="47" t="s">
        <v>2</v>
      </c>
      <c r="E3" s="46"/>
    </row>
    <row r="4" spans="1:5" ht="20.25">
      <c r="A4" s="915" t="s">
        <v>378</v>
      </c>
      <c r="B4" s="916"/>
      <c r="C4" s="916"/>
      <c r="D4" s="916"/>
      <c r="E4" s="917"/>
    </row>
    <row r="5" spans="1:5" ht="20.25">
      <c r="A5" s="918"/>
      <c r="B5" s="919"/>
      <c r="C5" s="919"/>
      <c r="D5" s="919"/>
      <c r="E5" s="920"/>
    </row>
    <row r="6" spans="1:5" ht="39" customHeight="1">
      <c r="A6" s="48" t="s">
        <v>118</v>
      </c>
      <c r="B6" s="921" t="str">
        <f>FSUP!A8</f>
        <v>SERVIÇOS TOPOGRÁFICOS E DE APOIO À FISCALIZAÇÃO E SUPERVISÃO TÉCNICA DE INSTRUMENTOS NA ÁREA DE ABRANGÊNCIA DA 2ª SR</v>
      </c>
      <c r="C6" s="922"/>
      <c r="D6" s="922"/>
      <c r="E6" s="923"/>
    </row>
    <row r="7" spans="1:5" ht="15.75">
      <c r="A7" s="49"/>
      <c r="B7" s="924"/>
      <c r="C7" s="924"/>
      <c r="D7" s="924"/>
      <c r="E7" s="925"/>
    </row>
    <row r="8" spans="1:5" ht="15">
      <c r="A8" s="926" t="s">
        <v>379</v>
      </c>
      <c r="B8" s="927"/>
      <c r="C8" s="927"/>
      <c r="D8" s="927"/>
      <c r="E8" s="928"/>
    </row>
    <row r="9" spans="1:5" s="1" customFormat="1" ht="15">
      <c r="A9" s="6"/>
      <c r="D9" s="50"/>
      <c r="E9" s="51"/>
    </row>
    <row r="10" spans="1:5" s="1" customFormat="1">
      <c r="A10" s="6"/>
      <c r="D10" s="52"/>
      <c r="E10" s="46"/>
    </row>
    <row r="11" spans="1:5">
      <c r="A11" s="6"/>
      <c r="B11" s="929" t="s">
        <v>380</v>
      </c>
      <c r="C11" s="930"/>
      <c r="D11" s="931"/>
      <c r="E11" s="46"/>
    </row>
    <row r="12" spans="1:5" s="1" customFormat="1">
      <c r="A12" s="53"/>
      <c r="B12" s="932" t="s">
        <v>381</v>
      </c>
      <c r="C12" s="933"/>
      <c r="D12" s="934"/>
      <c r="E12" s="51"/>
    </row>
    <row r="13" spans="1:5">
      <c r="A13" s="53"/>
      <c r="B13" s="54" t="s">
        <v>382</v>
      </c>
      <c r="C13" s="55" t="s">
        <v>383</v>
      </c>
      <c r="D13" s="56" t="s">
        <v>384</v>
      </c>
      <c r="E13" s="51"/>
    </row>
    <row r="14" spans="1:5">
      <c r="A14" s="53"/>
      <c r="B14" s="57"/>
      <c r="C14" s="58"/>
      <c r="D14" s="59"/>
      <c r="E14" s="51"/>
    </row>
    <row r="15" spans="1:5">
      <c r="A15" s="53"/>
      <c r="B15" s="60" t="s">
        <v>385</v>
      </c>
      <c r="C15" s="61">
        <v>6.9</v>
      </c>
      <c r="D15" s="62">
        <v>10</v>
      </c>
      <c r="E15" s="51"/>
    </row>
    <row r="16" spans="1:5">
      <c r="A16" s="53"/>
      <c r="B16" s="63" t="s">
        <v>386</v>
      </c>
      <c r="C16" s="64">
        <v>0.99</v>
      </c>
      <c r="D16" s="65">
        <v>1.44</v>
      </c>
      <c r="E16" s="51"/>
    </row>
    <row r="17" spans="1:5">
      <c r="A17" s="53"/>
      <c r="B17" s="63" t="s">
        <v>387</v>
      </c>
      <c r="C17" s="64">
        <v>0.5</v>
      </c>
      <c r="D17" s="65">
        <v>0.72</v>
      </c>
      <c r="E17" s="51"/>
    </row>
    <row r="18" spans="1:5" s="1" customFormat="1">
      <c r="A18" s="53"/>
      <c r="B18" s="66" t="s">
        <v>388</v>
      </c>
      <c r="C18" s="67">
        <v>0.1</v>
      </c>
      <c r="D18" s="68">
        <v>0.14000000000000001</v>
      </c>
      <c r="E18" s="51"/>
    </row>
    <row r="19" spans="1:5" s="1" customFormat="1">
      <c r="A19" s="53"/>
      <c r="B19" s="53"/>
      <c r="C19" s="3"/>
      <c r="D19" s="51"/>
      <c r="E19" s="51"/>
    </row>
    <row r="20" spans="1:5">
      <c r="A20" s="53"/>
      <c r="B20" s="69" t="s">
        <v>389</v>
      </c>
      <c r="C20" s="70">
        <v>8.2799999999999994</v>
      </c>
      <c r="D20" s="71">
        <v>12</v>
      </c>
      <c r="E20" s="46"/>
    </row>
    <row r="21" spans="1:5">
      <c r="A21" s="53"/>
      <c r="B21" s="53"/>
      <c r="C21" s="3"/>
      <c r="D21" s="51"/>
      <c r="E21" s="46"/>
    </row>
    <row r="22" spans="1:5">
      <c r="A22" s="53"/>
      <c r="B22" s="72" t="s">
        <v>390</v>
      </c>
      <c r="C22" s="73">
        <v>1.65</v>
      </c>
      <c r="D22" s="74">
        <v>2.39</v>
      </c>
      <c r="E22" s="46"/>
    </row>
    <row r="23" spans="1:5">
      <c r="A23" s="53"/>
      <c r="B23" s="75" t="s">
        <v>391</v>
      </c>
      <c r="C23" s="76">
        <v>7.6</v>
      </c>
      <c r="D23" s="77">
        <v>11.02</v>
      </c>
      <c r="E23" s="46"/>
    </row>
    <row r="24" spans="1:5">
      <c r="A24" s="53"/>
      <c r="B24" s="78" t="s">
        <v>392</v>
      </c>
      <c r="C24" s="79">
        <v>5</v>
      </c>
      <c r="D24" s="80">
        <v>7.25</v>
      </c>
      <c r="E24" s="46"/>
    </row>
    <row r="25" spans="1:5">
      <c r="A25" s="53"/>
      <c r="B25" s="3"/>
      <c r="C25" s="3"/>
      <c r="D25" s="81"/>
      <c r="E25" s="46"/>
    </row>
    <row r="26" spans="1:5">
      <c r="A26" s="82"/>
      <c r="B26" s="83" t="s">
        <v>393</v>
      </c>
      <c r="C26" s="84">
        <f>SUM(C15:C24)</f>
        <v>31.02</v>
      </c>
      <c r="D26" s="85">
        <f>SUM(D15:D24)</f>
        <v>44.96</v>
      </c>
      <c r="E26" s="86"/>
    </row>
    <row r="27" spans="1:5" s="1" customFormat="1"/>
  </sheetData>
  <mergeCells count="7">
    <mergeCell ref="B11:D11"/>
    <mergeCell ref="B12:D12"/>
    <mergeCell ref="A4:E4"/>
    <mergeCell ref="A5:E5"/>
    <mergeCell ref="B6:E6"/>
    <mergeCell ref="B7:E7"/>
    <mergeCell ref="A8:E8"/>
  </mergeCells>
  <pageMargins left="0.75" right="0.75" top="1" bottom="1" header="0.5" footer="0.5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Planilha RESMO</vt:lpstr>
      <vt:lpstr>Planilha MEDIÇÃO</vt:lpstr>
      <vt:lpstr>FSUP</vt:lpstr>
      <vt:lpstr>FSUP-I</vt:lpstr>
      <vt:lpstr>FSUP-II</vt:lpstr>
      <vt:lpstr>FSUP-III</vt:lpstr>
      <vt:lpstr>FSUP-IV</vt:lpstr>
      <vt:lpstr>Memória de Cálculo</vt:lpstr>
      <vt:lpstr>BDI</vt:lpstr>
      <vt:lpstr>Encargos Sociais</vt:lpstr>
      <vt:lpstr>FSUP!Area_de_impressao</vt:lpstr>
      <vt:lpstr>'FSUP-I'!Area_de_impressao</vt:lpstr>
      <vt:lpstr>'FSUP-II'!Area_de_impressao</vt:lpstr>
      <vt:lpstr>'FSUP-III'!Area_de_impressao</vt:lpstr>
      <vt:lpstr>'Planilha MEDIÇÃO'!Area_de_impressao</vt:lpstr>
      <vt:lpstr>'Planilha RESMO'!Area_de_impressao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Roberto Caetano Brasil</dc:creator>
  <cp:lastModifiedBy>joao.machado</cp:lastModifiedBy>
  <cp:lastPrinted>2018-07-17T18:57:00Z</cp:lastPrinted>
  <dcterms:created xsi:type="dcterms:W3CDTF">2009-12-08T14:34:00Z</dcterms:created>
  <dcterms:modified xsi:type="dcterms:W3CDTF">2022-11-29T19:07:11Z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ECD14634EA5946D986495A6431BF57BD</vt:lpwstr>
  </property>
  <property fmtid="{D5CDD505-2E9C-101B-9397-08002B2CF9AE}" pid="3" name="KSOProductBuildVer">
    <vt:lpwstr>1046-11.2.0.11417</vt:lpwstr>
  </property>
</Properties>
</file>