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44.1\SL - Restrita\MODALIDADES\Pregão\2021\PGE n xx.2021_Vigilância armada\"/>
    </mc:Choice>
  </mc:AlternateContent>
  <bookViews>
    <workbookView xWindow="0" yWindow="0" windowWidth="15720" windowHeight="7815" tabRatio="847"/>
  </bookViews>
  <sheets>
    <sheet name="Anexo II-Planilha Custos Totais" sheetId="11" r:id="rId1"/>
    <sheet name="Anexo III - Posto Diurno" sheetId="7" r:id="rId2"/>
    <sheet name="Anexo III - Posto Noturno" sheetId="8" r:id="rId3"/>
    <sheet name="Uniforme" sheetId="3" r:id="rId4"/>
    <sheet name="Material" sheetId="4" r:id="rId5"/>
    <sheet name="Equipamento" sheetId="5" r:id="rId6"/>
    <sheet name="Exames e Plano de Saúde" sheetId="12" r:id="rId7"/>
  </sheets>
  <definedNames>
    <definedName name="_xlnm.Print_Area" localSheetId="1">'Anexo III - Posto Diurno'!$A$1:$G$183</definedName>
    <definedName name="_xlnm.Print_Area" localSheetId="2">'Anexo III - Posto Noturno'!$A$1:$G$181</definedName>
    <definedName name="_xlnm.Print_Area" localSheetId="0">'Anexo II-Planilha Custos Totais'!$A$1:$F$17</definedName>
  </definedNames>
  <calcPr calcId="152511"/>
</workbook>
</file>

<file path=xl/calcChain.xml><?xml version="1.0" encoding="utf-8"?>
<calcChain xmlns="http://schemas.openxmlformats.org/spreadsheetml/2006/main">
  <c r="D58" i="8" l="1"/>
  <c r="D56" i="8"/>
  <c r="D56" i="7"/>
  <c r="D58" i="7"/>
  <c r="C112" i="8"/>
  <c r="C90" i="7"/>
  <c r="C91" i="7" s="1"/>
  <c r="D55" i="8"/>
  <c r="D54" i="8"/>
  <c r="D42" i="8"/>
  <c r="C113" i="7"/>
  <c r="C110" i="7"/>
  <c r="D55" i="7"/>
  <c r="D54" i="7"/>
  <c r="D42" i="7"/>
  <c r="H9" i="3" l="1"/>
  <c r="H8" i="3"/>
  <c r="D48" i="8" l="1"/>
  <c r="D43" i="7" l="1"/>
  <c r="B32" i="3"/>
  <c r="B31" i="3"/>
  <c r="B30" i="3"/>
  <c r="B29" i="3"/>
  <c r="B25" i="3"/>
  <c r="B24" i="3"/>
  <c r="B23" i="3"/>
  <c r="B19" i="3"/>
  <c r="B18" i="3"/>
  <c r="B7" i="3"/>
  <c r="B6" i="3"/>
  <c r="B5" i="3"/>
  <c r="D48" i="7" l="1"/>
  <c r="C8" i="5"/>
  <c r="C15" i="5"/>
  <c r="C23" i="5"/>
  <c r="C38" i="5"/>
  <c r="C30" i="5"/>
  <c r="D43" i="8"/>
  <c r="F6" i="12"/>
  <c r="F5" i="12"/>
  <c r="F4" i="12"/>
  <c r="D45" i="8" l="1"/>
  <c r="D46" i="8" s="1"/>
  <c r="F8" i="5"/>
  <c r="D69" i="7" s="1"/>
  <c r="F7" i="12"/>
  <c r="C17" i="4"/>
  <c r="D49" i="8" l="1"/>
  <c r="D62" i="8"/>
  <c r="D61" i="8"/>
  <c r="D61" i="7"/>
  <c r="D62" i="7"/>
  <c r="C123" i="7"/>
  <c r="C122" i="7"/>
  <c r="C121" i="7"/>
  <c r="C120" i="7"/>
  <c r="C119" i="7"/>
  <c r="C111" i="7"/>
  <c r="C108" i="7"/>
  <c r="C85" i="7"/>
  <c r="C126" i="7" s="1"/>
  <c r="D47" i="7"/>
  <c r="D45" i="7"/>
  <c r="C122" i="8"/>
  <c r="C121" i="8"/>
  <c r="C120" i="8"/>
  <c r="C119" i="8"/>
  <c r="C118" i="8"/>
  <c r="C110" i="8"/>
  <c r="C109" i="8"/>
  <c r="C107" i="8"/>
  <c r="C91" i="8"/>
  <c r="C90" i="8"/>
  <c r="C85" i="8"/>
  <c r="C125" i="8" s="1"/>
  <c r="D157" i="8"/>
  <c r="D47" i="8"/>
  <c r="C9" i="4"/>
  <c r="F20" i="4" s="1"/>
  <c r="F21" i="4" s="1"/>
  <c r="D68" i="7" s="1"/>
  <c r="B33" i="3"/>
  <c r="B26" i="3"/>
  <c r="B20" i="3"/>
  <c r="B15" i="3"/>
  <c r="H6" i="3" s="1"/>
  <c r="H5" i="3"/>
  <c r="D49" i="7" l="1"/>
  <c r="C125" i="7"/>
  <c r="C127" i="7" s="1"/>
  <c r="D158" i="7"/>
  <c r="C124" i="8"/>
  <c r="C126" i="8" s="1"/>
  <c r="H7" i="3"/>
  <c r="H15" i="3" s="1"/>
  <c r="H16" i="3" s="1"/>
  <c r="G19" i="3" s="1"/>
  <c r="D68" i="8"/>
  <c r="D69" i="8"/>
  <c r="C93" i="7"/>
  <c r="C94" i="7" s="1"/>
  <c r="C102" i="7"/>
  <c r="C103" i="7" s="1"/>
  <c r="C109" i="7"/>
  <c r="C112" i="7"/>
  <c r="C93" i="8"/>
  <c r="C101" i="8"/>
  <c r="C102" i="8" s="1"/>
  <c r="C108" i="8"/>
  <c r="C111" i="8"/>
  <c r="D109" i="8" l="1"/>
  <c r="D156" i="8"/>
  <c r="D101" i="7"/>
  <c r="D102" i="7" s="1"/>
  <c r="D103" i="7" s="1"/>
  <c r="D134" i="7" s="1"/>
  <c r="D90" i="7"/>
  <c r="D111" i="7"/>
  <c r="D112" i="7" s="1"/>
  <c r="D110" i="7"/>
  <c r="D120" i="7"/>
  <c r="D83" i="7"/>
  <c r="D80" i="7"/>
  <c r="D77" i="7"/>
  <c r="D90" i="8"/>
  <c r="D83" i="8"/>
  <c r="C113" i="8"/>
  <c r="C114" i="7"/>
  <c r="D84" i="7"/>
  <c r="D122" i="7"/>
  <c r="D80" i="8"/>
  <c r="D81" i="7"/>
  <c r="D100" i="8"/>
  <c r="D101" i="8" s="1"/>
  <c r="D102" i="8" s="1"/>
  <c r="D133" i="8" s="1"/>
  <c r="D119" i="8"/>
  <c r="D84" i="8"/>
  <c r="D110" i="8"/>
  <c r="D111" i="8" s="1"/>
  <c r="D77" i="8"/>
  <c r="D121" i="8"/>
  <c r="D81" i="8"/>
  <c r="D78" i="8"/>
  <c r="D82" i="8"/>
  <c r="D91" i="8"/>
  <c r="D107" i="8"/>
  <c r="D118" i="8"/>
  <c r="D120" i="8"/>
  <c r="D122" i="8"/>
  <c r="D79" i="8"/>
  <c r="D157" i="7"/>
  <c r="D78" i="7"/>
  <c r="D82" i="7"/>
  <c r="D91" i="7"/>
  <c r="D108" i="7"/>
  <c r="D119" i="7"/>
  <c r="D121" i="7"/>
  <c r="D123" i="7"/>
  <c r="D79" i="7"/>
  <c r="D109" i="7"/>
  <c r="C94" i="8"/>
  <c r="D108" i="8"/>
  <c r="D67" i="8" l="1"/>
  <c r="D71" i="8" s="1"/>
  <c r="D158" i="8" s="1"/>
  <c r="D67" i="7"/>
  <c r="D71" i="7" s="1"/>
  <c r="D159" i="7" s="1"/>
  <c r="D113" i="7"/>
  <c r="D114" i="7" s="1"/>
  <c r="D135" i="7" s="1"/>
  <c r="D112" i="8"/>
  <c r="D113" i="8" s="1"/>
  <c r="D134" i="8" s="1"/>
  <c r="D92" i="8"/>
  <c r="D93" i="8" s="1"/>
  <c r="D94" i="8" s="1"/>
  <c r="D131" i="8" s="1"/>
  <c r="D92" i="7"/>
  <c r="D93" i="7" s="1"/>
  <c r="D85" i="7"/>
  <c r="D133" i="7" s="1"/>
  <c r="D85" i="8"/>
  <c r="D132" i="8" s="1"/>
  <c r="D125" i="7"/>
  <c r="D124" i="8"/>
  <c r="D125" i="8" s="1"/>
  <c r="D126" i="8" s="1"/>
  <c r="D135" i="8" s="1"/>
  <c r="D94" i="7" l="1"/>
  <c r="D132" i="7" s="1"/>
  <c r="D126" i="7"/>
  <c r="D127" i="7" s="1"/>
  <c r="D137" i="8"/>
  <c r="D150" i="8" s="1"/>
  <c r="D136" i="7" l="1"/>
  <c r="D138" i="7" s="1"/>
  <c r="D160" i="7" s="1"/>
  <c r="D159" i="8"/>
  <c r="D151" i="7" l="1"/>
  <c r="D161" i="7"/>
  <c r="D143" i="7" s="1"/>
  <c r="D160" i="8"/>
  <c r="D142" i="8" s="1"/>
  <c r="D147" i="8" s="1"/>
  <c r="D146" i="8" l="1"/>
  <c r="D148" i="7"/>
  <c r="D145" i="8"/>
  <c r="D146" i="7"/>
  <c r="D147" i="7"/>
  <c r="D151" i="8" l="1"/>
  <c r="D161" i="8" s="1"/>
  <c r="D162" i="8" s="1"/>
  <c r="C168" i="8" s="1"/>
  <c r="E168" i="8" s="1"/>
  <c r="D15" i="11" s="1"/>
  <c r="E15" i="11" s="1"/>
  <c r="F15" i="11" s="1"/>
  <c r="D152" i="7"/>
  <c r="D162" i="7" s="1"/>
  <c r="C177" i="8" l="1"/>
  <c r="G168" i="8"/>
  <c r="G171" i="8" s="1"/>
  <c r="C178" i="8" s="1"/>
  <c r="C179" i="8" s="1"/>
  <c r="F13" i="8" s="1"/>
  <c r="C13" i="8"/>
  <c r="E13" i="8" s="1"/>
  <c r="D163" i="7"/>
  <c r="C169" i="7" s="1"/>
  <c r="E169" i="7" l="1"/>
  <c r="D14" i="11" l="1"/>
  <c r="E14" i="11" s="1"/>
  <c r="C13" i="7"/>
  <c r="G169" i="7"/>
  <c r="G172" i="7" s="1"/>
  <c r="C179" i="7" s="1"/>
  <c r="C178" i="7"/>
  <c r="C180" i="7" l="1"/>
  <c r="F13" i="7" s="1"/>
  <c r="E13" i="7"/>
  <c r="F16" i="11"/>
  <c r="F17" i="11" s="1"/>
  <c r="F14" i="11"/>
</calcChain>
</file>

<file path=xl/sharedStrings.xml><?xml version="1.0" encoding="utf-8"?>
<sst xmlns="http://schemas.openxmlformats.org/spreadsheetml/2006/main" count="619" uniqueCount="235">
  <si>
    <t>Planilha de Proposta de Preço</t>
  </si>
  <si>
    <t>Município/UF: São Luís/MA</t>
  </si>
  <si>
    <t>Nº de meses de execução contratual: 12 meses</t>
  </si>
  <si>
    <t>Item</t>
  </si>
  <si>
    <t>Posto</t>
  </si>
  <si>
    <t>Custo Estimado por posto</t>
  </si>
  <si>
    <t>Quantidade de postos</t>
  </si>
  <si>
    <t>Valor mensal</t>
  </si>
  <si>
    <t>Valor anual</t>
  </si>
  <si>
    <t>Vigilante (com adicional noturno)</t>
  </si>
  <si>
    <t>Total Item 1</t>
  </si>
  <si>
    <t>E</t>
  </si>
  <si>
    <t>RESPONSÁVEL PELO PROJETO</t>
  </si>
  <si>
    <t>Unidade de Serviços Auxiliares.</t>
  </si>
  <si>
    <t>PLANILHA DE COMPOSIÇÃO DE CUSTOS E FORMAÇÃO DE PREÇOS</t>
  </si>
  <si>
    <t>MÃO-DE-OBRA VINCULADA À EXECUÇÃO CONTRATUAL</t>
  </si>
  <si>
    <t>A</t>
  </si>
  <si>
    <t>Data da apresentação da proposta</t>
  </si>
  <si>
    <t>B</t>
  </si>
  <si>
    <t>Município/UF</t>
  </si>
  <si>
    <t>C</t>
  </si>
  <si>
    <t>Ano Acordo, Convenção Coletiva ou Sentença Normativa em Dissídio Coletivo.</t>
  </si>
  <si>
    <t>D</t>
  </si>
  <si>
    <t>Nº de meses de execução contratual</t>
  </si>
  <si>
    <t>12 meses</t>
  </si>
  <si>
    <t>Mão-de-obra vinculada à execução contratual</t>
  </si>
  <si>
    <t>Dados complementares para composição dos custos referente à mão-de-obra</t>
  </si>
  <si>
    <t>Tipo de serviço</t>
  </si>
  <si>
    <t>Vigilância</t>
  </si>
  <si>
    <t>Salário normativo da categoria profissional</t>
  </si>
  <si>
    <t>Categoria profissional</t>
  </si>
  <si>
    <t>Data base da categoria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</si>
  <si>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</si>
  <si>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</si>
  <si>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</si>
  <si>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</si>
  <si>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</si>
  <si>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</si>
  <si>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</si>
  <si>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Hora noturna adicional</t>
  </si>
  <si>
    <t>F</t>
  </si>
  <si>
    <t>Adicional de risco de vida</t>
  </si>
  <si>
    <t>G</t>
  </si>
  <si>
    <t>H</t>
  </si>
  <si>
    <t>Outros</t>
  </si>
  <si>
    <t>Total da Remuneração</t>
  </si>
  <si>
    <t>Módulo 2: Benefícios Mensais e diários</t>
  </si>
  <si>
    <t>Benefícios Mensais e Diários</t>
  </si>
  <si>
    <t>Auxílio creche</t>
  </si>
  <si>
    <t>I</t>
  </si>
  <si>
    <t>Total de benefícios mensais e diários</t>
  </si>
  <si>
    <t>Módulo 3: Insumos Diversos</t>
  </si>
  <si>
    <t>Insumos diversos</t>
  </si>
  <si>
    <t>Total de Insumos Diversos</t>
  </si>
  <si>
    <t>Módulo 4: Encargos Sociais e Trabalhistas</t>
  </si>
  <si>
    <t>Submódulo 4.1 – Encargos previdenciários e FGTS</t>
  </si>
  <si>
    <t>4.1</t>
  </si>
  <si>
    <t>Encargos previdenciários e FGTS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</si>
  <si>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</si>
  <si>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</si>
  <si>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</si>
  <si>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</si>
  <si>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</si>
  <si>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</si>
  <si>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</si>
  <si>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 Acidente de Trabalho (decreto 6042/2007)</t>
  </si>
  <si>
    <t>SEBRAE</t>
  </si>
  <si>
    <t>Total</t>
  </si>
  <si>
    <t>Submódulo 4.2 – 13º salário e Adicional de Férias</t>
  </si>
  <si>
    <t>4.2</t>
  </si>
  <si>
    <t>13º Salário e Adicional de Férias</t>
  </si>
  <si>
    <t>Subtotal</t>
  </si>
  <si>
    <t>Incidência do Submódulo 4.1 sobre 13º salário e adicional de férias</t>
  </si>
  <si>
    <t>Submódulo 4.3 – Afastamento Maternidade</t>
  </si>
  <si>
    <t>4.3</t>
  </si>
  <si>
    <t>Afastamento Maternidade</t>
  </si>
  <si>
    <t>Incidência do submódulo 4.1 sobre afastamento maternidade</t>
  </si>
  <si>
    <t>Submódulo 4.4 – Provisão para Rescisão</t>
  </si>
  <si>
    <t>4.4</t>
  </si>
  <si>
    <t>Provisão para Rescisão</t>
  </si>
  <si>
    <t>Incidência do FGTS sobre aviso prévio indenizado (provisão para rescisão)</t>
  </si>
  <si>
    <t>Multa do FGTS do aviso prévio indenizado (manual)</t>
  </si>
  <si>
    <t>Aviso prévio trabalhado  (manual)</t>
  </si>
  <si>
    <t>Incidência do submódulo 4.1 sobre aviso prévio trabalhado</t>
  </si>
  <si>
    <t>Multa FGTS do aviso prévio trabalhado</t>
  </si>
  <si>
    <t>Submódulo 4.5 – Custo de Reposição do Profissional Ausente</t>
  </si>
  <si>
    <t>4.5</t>
  </si>
  <si>
    <t>Composição do custo de Reposição do Profissional Ausente</t>
  </si>
  <si>
    <t>Ausências legais</t>
  </si>
  <si>
    <t>Incidência do submódulo 4.1 sobre o Custo de reposição</t>
  </si>
  <si>
    <t>Quadro – resumo – Módulo 4 – Encargos sociais e trabalhistas</t>
  </si>
  <si>
    <t>Encargos Sociais e Trabalhistas</t>
  </si>
  <si>
    <t>13º salário+Adicional de Férias</t>
  </si>
  <si>
    <t>Encargos Previdenciários e FGTS</t>
  </si>
  <si>
    <t>Custo de Rescisão</t>
  </si>
  <si>
    <t>Custo de Reposição do Profissional Ausente</t>
  </si>
  <si>
    <t>4.6</t>
  </si>
  <si>
    <t>Módulo 5: Custos indiretos, tributos e lucro</t>
  </si>
  <si>
    <t>Custos Indiretos, Tributos e Lucro</t>
  </si>
  <si>
    <t>Custos Indiretos (Portaria nº 7 da IN nº2/2008)</t>
  </si>
  <si>
    <t>Tributos</t>
  </si>
  <si>
    <t>B.1 Tributos Federais</t>
  </si>
  <si>
    <t>B.1.1 PIS (depende do regime de tributação)</t>
  </si>
  <si>
    <t>B.1.2 COFINS (depende do regime de tributação)</t>
  </si>
  <si>
    <t>B.2 Tributos Estaduais  (ISS)</t>
  </si>
  <si>
    <t>B.3 Tributos Municipais</t>
  </si>
  <si>
    <t>B.4 Outros Tributos</t>
  </si>
  <si>
    <t>Lucro</t>
  </si>
  <si>
    <t>Anexo III –B – Quadro-resumo do custo por empregado</t>
  </si>
  <si>
    <t>Mão-de-obra vinculada à execução contratual (valor por empregado)</t>
  </si>
  <si>
    <t>Módulo 1- Composição da Remuneração</t>
  </si>
  <si>
    <t>Módulo 2- Benefícios Mensais e Diários</t>
  </si>
  <si>
    <t>Módulo 3- Insumos Diversos (uniformes, materiais, equipamentos e outros)</t>
  </si>
  <si>
    <t>Módulo 4- Encargos Sociais e Trabalhistas</t>
  </si>
  <si>
    <t>Subtotal (A+B+C+D)</t>
  </si>
  <si>
    <t>Módulo 5 – Custos indiretos, tributos e lucro</t>
  </si>
  <si>
    <t>Valor total por empregado</t>
  </si>
  <si>
    <t>Anexo III –C – Quadro-resumo – Valor Mensal dos Serviços</t>
  </si>
  <si>
    <t>Valor proposto por empregado (B)</t>
  </si>
  <si>
    <t>Qtde de empregados por posto</t>
  </si>
  <si>
    <t>Valor proposto por posto</t>
  </si>
  <si>
    <t>Qtde e postos</t>
  </si>
  <si>
    <t>Valor total dos serviços</t>
  </si>
  <si>
    <t>(A)</t>
  </si>
  <si>
    <t>(C)</t>
  </si>
  <si>
    <t>(D)=(BXC)</t>
  </si>
  <si>
    <t>(E)</t>
  </si>
  <si>
    <t>(F)=(DxE)</t>
  </si>
  <si>
    <t>Serviço 1 (com adicional noturno)</t>
  </si>
  <si>
    <t>II</t>
  </si>
  <si>
    <t>Serviço 2 (indicar)</t>
  </si>
  <si>
    <t>R$</t>
  </si>
  <si>
    <t>Valor mensal dos serviços (I+II)</t>
  </si>
  <si>
    <t>Anexo III –D – Quadro-demonstrativo – Valor Global da proposta</t>
  </si>
  <si>
    <t>Valor global da proposta</t>
  </si>
  <si>
    <t>Descrição</t>
  </si>
  <si>
    <t>Valor proposto por unidade de medida</t>
  </si>
  <si>
    <t>Valor mensal do serviço</t>
  </si>
  <si>
    <t>Valor global da proposta (valor mensal do serviço x nº meses do contrato)</t>
  </si>
  <si>
    <t>Vigilante (sem adicional noturno)</t>
  </si>
  <si>
    <t xml:space="preserve">Intervalo intrajornada </t>
  </si>
  <si>
    <t xml:space="preserve">13º Salário </t>
  </si>
  <si>
    <t>Aviso prévio Indenizado</t>
  </si>
  <si>
    <t xml:space="preserve">Férias </t>
  </si>
  <si>
    <t xml:space="preserve">Ausência por doença </t>
  </si>
  <si>
    <r>
      <t>Licença paternidade</t>
    </r>
    <r>
      <rPr>
        <sz val="10"/>
        <color indexed="55"/>
        <rFont val="Times New Roman"/>
        <family val="1"/>
        <charset val="1"/>
      </rPr>
      <t xml:space="preserve"> </t>
    </r>
  </si>
  <si>
    <t>Ausência por acidente de trabalho</t>
  </si>
  <si>
    <t>Calça Social Masculina</t>
  </si>
  <si>
    <t>Empresa 1</t>
  </si>
  <si>
    <t>Empresa 2</t>
  </si>
  <si>
    <t>Empresa 3</t>
  </si>
  <si>
    <t>Empresa 4</t>
  </si>
  <si>
    <t>Preço Unit</t>
  </si>
  <si>
    <t>Quant.</t>
  </si>
  <si>
    <t>Média dos valores</t>
  </si>
  <si>
    <t>Camisa social Masc ulina</t>
  </si>
  <si>
    <t>Meia Social masculina</t>
  </si>
  <si>
    <t>Cinto Social masculino</t>
  </si>
  <si>
    <t>Sapato Social masculino</t>
  </si>
  <si>
    <t>Preço Unit.</t>
  </si>
  <si>
    <t>Sub-Total</t>
  </si>
  <si>
    <t>Total por mês</t>
  </si>
  <si>
    <t>Total por ano</t>
  </si>
  <si>
    <t>Uniforme por Profissional</t>
  </si>
  <si>
    <t>Colete tático</t>
  </si>
  <si>
    <t>Capa de Chuva</t>
  </si>
  <si>
    <t>Revólver</t>
  </si>
  <si>
    <t>Munição</t>
  </si>
  <si>
    <t>Apito</t>
  </si>
  <si>
    <t>Jet loader</t>
  </si>
  <si>
    <t>coldre</t>
  </si>
  <si>
    <t>Custo mensal do Equipamento =</t>
  </si>
  <si>
    <t>Adicional de Férias  (Manual MPOG)</t>
  </si>
  <si>
    <t>São Luís/ MA</t>
  </si>
  <si>
    <t>Serviço 1 (sem adicional noturno)</t>
  </si>
  <si>
    <t>Uniformes (Cotação no Mercado)</t>
  </si>
  <si>
    <t>Materiais (Cotação no Mercado)</t>
  </si>
  <si>
    <t>Equipamentos (Cotação no Mercado)</t>
  </si>
  <si>
    <t xml:space="preserve">Outros </t>
  </si>
  <si>
    <t>Anexo II</t>
  </si>
  <si>
    <t>Planilha de Custos Totais</t>
  </si>
  <si>
    <t>Tipo de Posto</t>
  </si>
  <si>
    <t>Quantidade de Postos</t>
  </si>
  <si>
    <t>Valor Unitário Mensal (R$)</t>
  </si>
  <si>
    <t>Preço Máximo Mensal (R$)</t>
  </si>
  <si>
    <t>Preço Máximo Anual (R$)</t>
  </si>
  <si>
    <t>Vigilância 12x36 (Diurno)</t>
  </si>
  <si>
    <t>Vigilância 12x36 (Noturno)</t>
  </si>
  <si>
    <t>Intervalo intrajornada</t>
  </si>
  <si>
    <t>Outros (Exames Médicos)</t>
  </si>
  <si>
    <t>Exames Básicos - Vigilantes</t>
  </si>
  <si>
    <t>Quant</t>
  </si>
  <si>
    <t>V.Unit</t>
  </si>
  <si>
    <t>V.Total</t>
  </si>
  <si>
    <t xml:space="preserve">    Periodicidade</t>
  </si>
  <si>
    <t>Acuidade Visual</t>
  </si>
  <si>
    <t>Meses</t>
  </si>
  <si>
    <t>Eletroencefalograma</t>
  </si>
  <si>
    <t>Exame Clínico/ASO</t>
  </si>
  <si>
    <t xml:space="preserve"> </t>
  </si>
  <si>
    <t xml:space="preserve">Licença paternidade </t>
  </si>
  <si>
    <t>POSTO DIURNO</t>
  </si>
  <si>
    <t>Qtde de postos</t>
  </si>
  <si>
    <t>POSTO NOTURNO</t>
  </si>
  <si>
    <t>Hora Noturna Reduzida - Súmula 444</t>
  </si>
  <si>
    <t xml:space="preserve">Data da apresentação da proposta: </t>
  </si>
  <si>
    <t>Data:</t>
  </si>
  <si>
    <t>Cinto</t>
  </si>
  <si>
    <t>UNIFORME - ANUAL</t>
  </si>
  <si>
    <t>Jaqueta</t>
  </si>
  <si>
    <t>Por profissional</t>
  </si>
  <si>
    <t xml:space="preserve">Valor Máximo Anual do Contrato (12 meses) </t>
  </si>
  <si>
    <t>Valor Máximo Mensal do Contrato (1 Posto Diurno e 1 Posto Noturno)</t>
  </si>
  <si>
    <t>Processo nº: 59580.0000XXX/2021-XX</t>
  </si>
  <si>
    <t>Licitação nº____________     Pregão Eletrônico nº xx / 2021</t>
  </si>
  <si>
    <t>Processo nº: 59580.000XXX/20XX-XX</t>
  </si>
  <si>
    <t>Licitação nº      Pregão Eletrônico nº XX/2021</t>
  </si>
  <si>
    <t>Ano Acordo, Convenção Coletiva ou Sentença Normativa em Dissídio Coletivo. 2021/2022</t>
  </si>
  <si>
    <t>Processo nº:  59580.000XXX/20XX-XX</t>
  </si>
  <si>
    <t>Licitação nº__________     Pregão Eletrônico nº XX/2021</t>
  </si>
  <si>
    <t>Fevereiro de 2021</t>
  </si>
  <si>
    <t>Transporte  (R$ 3,7x15 diasx2viagens)</t>
  </si>
  <si>
    <t>Auxílio alimentação (R$ 20,00 x 15 dias)</t>
  </si>
  <si>
    <t xml:space="preserve">Plano de saúde </t>
  </si>
  <si>
    <t>Valor médio plano de saúde</t>
  </si>
  <si>
    <t>Seguro de vida</t>
  </si>
  <si>
    <t>Auxílio funeral</t>
  </si>
  <si>
    <t>Auxílio invalidez</t>
  </si>
  <si>
    <t>Adicional de Férias</t>
  </si>
  <si>
    <t>Seguro Acidente de Trabalho</t>
  </si>
  <si>
    <t>Licitação nº__________     Pregão Eletrônico nº XX /2021</t>
  </si>
  <si>
    <t>Transporte  (R$ 3,7x15diasx2viagens)</t>
  </si>
  <si>
    <t xml:space="preserve">Valor médio seguro de vida </t>
  </si>
  <si>
    <t xml:space="preserve">Uniforme </t>
  </si>
  <si>
    <t xml:space="preserve">ITEM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</si>
</sst>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R$&quot;\ #,##0.00;[Red]\-&quot;R$&quot;\ #,##0.00"/>
    <numFmt numFmtId="164" formatCode="_-* #,##0.00\ _€_-;\-* #,##0.00\ _€_-;_-* &quot;-&quot;??\ _€_-;_-@_-"/>
    <numFmt numFmtId="165" formatCode="[$R$ -416]#,##0.00_);\([$R$ -416]#,##0.00\)"/>
    <numFmt numFmtId="166" formatCode="&quot;R$ &quot;#,##0.00"/>
    <numFmt numFmtId="167" formatCode="_(&quot;R$ &quot;* #,##0.00_);_(&quot;R$ &quot;* \(#,##0.00\);_(&quot;R$ &quot;* \-??_);_(@_)"/>
    <numFmt numFmtId="168" formatCode="[$R$-416]\ #,##0.00;[Red]\-[$R$-416]\ #,##0.00"/>
    <numFmt numFmtId="169" formatCode="&quot;R$ &quot;#,##0.00;[Red]&quot;R$ &quot;#,##0.00"/>
    <numFmt numFmtId="170" formatCode="&quot;R$&quot;\ #,##0.00"/>
    <numFmt numFmtId="171" formatCode="0.0"/>
    <numFmt numFmtId="172" formatCode="[$R$-416]#,##0.00;[Red]\-[$R$-416]#,##0.00"/>
  </numFmts>
  <fonts count="29" x14ac:knownFonts="1">
    <font>
      <sz val="11"/>
      <color rgb="FF000000"/>
      <name val="Calibri"/>
      <family val="2"/>
      <charset val="1"/>
    </font>
    <font>
      <sz val="10"/>
      <color indexed="55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name val="Times New Roman"/>
      <family val="1"/>
    </font>
    <font>
      <b/>
      <sz val="10"/>
      <name val="Calibri"/>
      <family val="2"/>
      <scheme val="minor"/>
    </font>
    <font>
      <b/>
      <sz val="10"/>
      <color rgb="FF000000"/>
      <name val="Times New Roman"/>
      <family val="1"/>
      <charset val="1"/>
    </font>
    <font>
      <sz val="10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</font>
    <font>
      <sz val="10"/>
      <color rgb="FF000000"/>
      <name val="Calibri"/>
      <family val="2"/>
    </font>
    <font>
      <u/>
      <sz val="10"/>
      <color rgb="FF0000FF"/>
      <name val="Calibri"/>
      <family val="2"/>
      <charset val="1"/>
    </font>
    <font>
      <sz val="10"/>
      <color rgb="FFFF0000"/>
      <name val="Calibri"/>
      <family val="2"/>
      <charset val="1"/>
    </font>
    <font>
      <b/>
      <sz val="10"/>
      <name val="Times New Roman"/>
      <family val="1"/>
      <charset val="1"/>
    </font>
    <font>
      <sz val="10"/>
      <name val="Calibri"/>
      <family val="2"/>
      <charset val="1"/>
    </font>
    <font>
      <sz val="10"/>
      <name val="Times New Roman"/>
      <family val="1"/>
      <charset val="1"/>
    </font>
    <font>
      <b/>
      <sz val="10"/>
      <name val="Times New Roman"/>
      <family val="1"/>
    </font>
    <font>
      <sz val="10"/>
      <name val="Calibri"/>
      <family val="2"/>
    </font>
    <font>
      <u/>
      <sz val="10"/>
      <name val="Calibri"/>
      <family val="2"/>
      <charset val="1"/>
    </font>
    <font>
      <b/>
      <sz val="14"/>
      <color rgb="FF000000"/>
      <name val="Arial"/>
      <family val="2"/>
    </font>
    <font>
      <b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9"/>
      <color rgb="FF000000"/>
      <name val="Times New Roman"/>
      <family val="1"/>
    </font>
    <font>
      <b/>
      <sz val="12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10"/>
      <name val="Calibri"/>
      <family val="2"/>
    </font>
    <font>
      <sz val="11"/>
      <color rgb="FFFF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24"/>
      </patternFill>
    </fill>
    <fill>
      <patternFill patternType="solid">
        <fgColor theme="0"/>
        <bgColor rgb="FF9999FF"/>
      </patternFill>
    </fill>
    <fill>
      <patternFill patternType="solid">
        <fgColor theme="0"/>
        <bgColor rgb="FFFFFFCC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2" fillId="0" borderId="0"/>
    <xf numFmtId="0" fontId="6" fillId="0" borderId="0"/>
  </cellStyleXfs>
  <cellXfs count="220">
    <xf numFmtId="0" fontId="0" fillId="0" borderId="0" xfId="0"/>
    <xf numFmtId="0" fontId="0" fillId="4" borderId="0" xfId="0" applyFill="1"/>
    <xf numFmtId="4" fontId="0" fillId="4" borderId="0" xfId="0" applyNumberFormat="1" applyFill="1"/>
    <xf numFmtId="0" fontId="0" fillId="4" borderId="0" xfId="0" applyFill="1" applyAlignment="1">
      <alignment horizontal="right"/>
    </xf>
    <xf numFmtId="166" fontId="0" fillId="4" borderId="0" xfId="0" applyNumberFormat="1" applyFill="1"/>
    <xf numFmtId="166" fontId="0" fillId="4" borderId="0" xfId="0" applyNumberFormat="1" applyFill="1" applyAlignment="1">
      <alignment horizontal="left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7" xfId="0" applyFill="1" applyBorder="1"/>
    <xf numFmtId="0" fontId="0" fillId="4" borderId="8" xfId="0" applyFill="1" applyBorder="1"/>
    <xf numFmtId="0" fontId="0" fillId="4" borderId="7" xfId="0" applyFill="1" applyBorder="1" applyAlignment="1">
      <alignment horizontal="right"/>
    </xf>
    <xf numFmtId="166" fontId="0" fillId="4" borderId="8" xfId="0" applyNumberFormat="1" applyFill="1" applyBorder="1"/>
    <xf numFmtId="0" fontId="3" fillId="4" borderId="8" xfId="0" applyFont="1" applyFill="1" applyBorder="1"/>
    <xf numFmtId="0" fontId="0" fillId="4" borderId="2" xfId="0" applyFill="1" applyBorder="1"/>
    <xf numFmtId="0" fontId="0" fillId="4" borderId="10" xfId="0" applyFill="1" applyBorder="1"/>
    <xf numFmtId="0" fontId="0" fillId="4" borderId="10" xfId="0" applyFill="1" applyBorder="1" applyAlignment="1">
      <alignment horizontal="center"/>
    </xf>
    <xf numFmtId="0" fontId="0" fillId="4" borderId="1" xfId="0" applyFill="1" applyBorder="1"/>
    <xf numFmtId="166" fontId="0" fillId="4" borderId="10" xfId="0" applyNumberFormat="1" applyFill="1" applyBorder="1"/>
    <xf numFmtId="4" fontId="0" fillId="4" borderId="10" xfId="0" applyNumberFormat="1" applyFill="1" applyBorder="1"/>
    <xf numFmtId="0" fontId="0" fillId="4" borderId="10" xfId="0" applyFill="1" applyBorder="1" applyAlignment="1">
      <alignment horizontal="right"/>
    </xf>
    <xf numFmtId="0" fontId="3" fillId="4" borderId="10" xfId="0" applyFont="1" applyFill="1" applyBorder="1" applyAlignment="1">
      <alignment horizontal="right"/>
    </xf>
    <xf numFmtId="166" fontId="3" fillId="4" borderId="1" xfId="0" applyNumberFormat="1" applyFont="1" applyFill="1" applyBorder="1"/>
    <xf numFmtId="0" fontId="3" fillId="4" borderId="9" xfId="0" applyFont="1" applyFill="1" applyBorder="1"/>
    <xf numFmtId="0" fontId="0" fillId="4" borderId="0" xfId="0" applyFill="1" applyAlignment="1">
      <alignment horizontal="left"/>
    </xf>
    <xf numFmtId="0" fontId="7" fillId="6" borderId="11" xfId="2" applyFont="1" applyFill="1" applyBorder="1" applyAlignment="1">
      <alignment horizontal="center" vertical="center"/>
    </xf>
    <xf numFmtId="0" fontId="7" fillId="4" borderId="14" xfId="2" applyFont="1" applyFill="1" applyBorder="1" applyAlignment="1">
      <alignment horizontal="center" vertical="center"/>
    </xf>
    <xf numFmtId="0" fontId="7" fillId="4" borderId="16" xfId="2" applyFont="1" applyFill="1" applyBorder="1" applyAlignment="1">
      <alignment horizontal="center" vertical="center"/>
    </xf>
    <xf numFmtId="0" fontId="7" fillId="4" borderId="5" xfId="2" applyFont="1" applyFill="1" applyBorder="1" applyAlignment="1">
      <alignment horizontal="center" vertical="center"/>
    </xf>
    <xf numFmtId="0" fontId="7" fillId="6" borderId="12" xfId="2" applyFont="1" applyFill="1" applyBorder="1" applyAlignment="1">
      <alignment horizontal="center" vertical="center"/>
    </xf>
    <xf numFmtId="0" fontId="7" fillId="6" borderId="12" xfId="2" applyFont="1" applyFill="1" applyBorder="1" applyAlignment="1">
      <alignment horizontal="left" vertical="center"/>
    </xf>
    <xf numFmtId="0" fontId="7" fillId="6" borderId="13" xfId="2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7" fillId="4" borderId="4" xfId="2" applyFont="1" applyFill="1" applyBorder="1" applyAlignment="1">
      <alignment horizontal="left" vertical="center"/>
    </xf>
    <xf numFmtId="0" fontId="7" fillId="4" borderId="4" xfId="2" applyFont="1" applyFill="1" applyBorder="1" applyAlignment="1">
      <alignment horizontal="center" vertical="center"/>
    </xf>
    <xf numFmtId="4" fontId="7" fillId="4" borderId="4" xfId="2" applyNumberFormat="1" applyFont="1" applyFill="1" applyBorder="1" applyAlignment="1">
      <alignment vertical="center"/>
    </xf>
    <xf numFmtId="4" fontId="7" fillId="4" borderId="4" xfId="2" applyNumberFormat="1" applyFont="1" applyFill="1" applyBorder="1" applyAlignment="1">
      <alignment horizontal="right" vertical="center"/>
    </xf>
    <xf numFmtId="3" fontId="7" fillId="4" borderId="4" xfId="2" applyNumberFormat="1" applyFont="1" applyFill="1" applyBorder="1" applyAlignment="1">
      <alignment horizontal="center" vertical="center"/>
    </xf>
    <xf numFmtId="0" fontId="7" fillId="4" borderId="15" xfId="2" applyFont="1" applyFill="1" applyBorder="1" applyAlignment="1">
      <alignment horizontal="center" vertical="center"/>
    </xf>
    <xf numFmtId="0" fontId="7" fillId="4" borderId="17" xfId="2" applyFont="1" applyFill="1" applyBorder="1" applyAlignment="1">
      <alignment horizontal="left" vertical="center"/>
    </xf>
    <xf numFmtId="0" fontId="7" fillId="4" borderId="17" xfId="2" applyFont="1" applyFill="1" applyBorder="1" applyAlignment="1">
      <alignment horizontal="center" vertical="center"/>
    </xf>
    <xf numFmtId="4" fontId="7" fillId="4" borderId="17" xfId="2" applyNumberFormat="1" applyFont="1" applyFill="1" applyBorder="1" applyAlignment="1">
      <alignment vertical="center"/>
    </xf>
    <xf numFmtId="3" fontId="7" fillId="4" borderId="17" xfId="2" applyNumberFormat="1" applyFont="1" applyFill="1" applyBorder="1" applyAlignment="1">
      <alignment horizontal="center" vertical="center"/>
    </xf>
    <xf numFmtId="0" fontId="7" fillId="4" borderId="18" xfId="2" applyFont="1" applyFill="1" applyBorder="1" applyAlignment="1">
      <alignment horizontal="center" vertical="center"/>
    </xf>
    <xf numFmtId="0" fontId="7" fillId="4" borderId="6" xfId="2" applyFont="1" applyFill="1" applyBorder="1" applyAlignment="1">
      <alignment horizontal="left" vertical="center"/>
    </xf>
    <xf numFmtId="0" fontId="7" fillId="4" borderId="6" xfId="2" applyFont="1" applyFill="1" applyBorder="1" applyAlignment="1">
      <alignment vertical="center"/>
    </xf>
    <xf numFmtId="4" fontId="7" fillId="4" borderId="6" xfId="2" applyNumberFormat="1" applyFont="1" applyFill="1" applyBorder="1" applyAlignment="1">
      <alignment vertical="center"/>
    </xf>
    <xf numFmtId="0" fontId="7" fillId="4" borderId="3" xfId="2" applyFont="1" applyFill="1" applyBorder="1" applyAlignment="1">
      <alignment horizontal="center" vertical="center"/>
    </xf>
    <xf numFmtId="0" fontId="9" fillId="4" borderId="0" xfId="0" applyFont="1" applyFill="1"/>
    <xf numFmtId="0" fontId="10" fillId="4" borderId="0" xfId="0" applyFont="1" applyFill="1" applyAlignment="1">
      <alignment vertical="center"/>
    </xf>
    <xf numFmtId="10" fontId="9" fillId="4" borderId="0" xfId="0" applyNumberFormat="1" applyFont="1" applyFill="1"/>
    <xf numFmtId="4" fontId="9" fillId="4" borderId="0" xfId="0" applyNumberFormat="1" applyFont="1" applyFill="1"/>
    <xf numFmtId="0" fontId="8" fillId="4" borderId="0" xfId="0" applyFont="1" applyFill="1" applyAlignment="1">
      <alignment vertical="center"/>
    </xf>
    <xf numFmtId="0" fontId="10" fillId="4" borderId="4" xfId="0" applyFont="1" applyFill="1" applyBorder="1" applyAlignment="1">
      <alignment vertical="center" wrapText="1"/>
    </xf>
    <xf numFmtId="10" fontId="10" fillId="4" borderId="4" xfId="0" applyNumberFormat="1" applyFont="1" applyFill="1" applyBorder="1" applyAlignment="1">
      <alignment vertical="center" wrapText="1"/>
    </xf>
    <xf numFmtId="4" fontId="10" fillId="4" borderId="4" xfId="0" applyNumberFormat="1" applyFont="1" applyFill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165" fontId="10" fillId="5" borderId="4" xfId="0" applyNumberFormat="1" applyFont="1" applyFill="1" applyBorder="1" applyAlignment="1">
      <alignment vertical="center" wrapText="1"/>
    </xf>
    <xf numFmtId="166" fontId="10" fillId="5" borderId="4" xfId="0" applyNumberFormat="1" applyFont="1" applyFill="1" applyBorder="1" applyAlignment="1">
      <alignment vertical="center" wrapText="1"/>
    </xf>
    <xf numFmtId="0" fontId="8" fillId="4" borderId="19" xfId="0" applyFont="1" applyFill="1" applyBorder="1" applyAlignment="1">
      <alignment vertical="center" wrapText="1"/>
    </xf>
    <xf numFmtId="0" fontId="9" fillId="4" borderId="20" xfId="0" applyFont="1" applyFill="1" applyBorder="1" applyAlignment="1">
      <alignment vertical="top" wrapText="1"/>
    </xf>
    <xf numFmtId="0" fontId="10" fillId="4" borderId="20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10" fontId="8" fillId="4" borderId="4" xfId="0" applyNumberFormat="1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left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168" fontId="10" fillId="4" borderId="4" xfId="0" applyNumberFormat="1" applyFont="1" applyFill="1" applyBorder="1" applyAlignment="1">
      <alignment vertical="center" wrapText="1"/>
    </xf>
    <xf numFmtId="169" fontId="10" fillId="4" borderId="4" xfId="0" applyNumberFormat="1" applyFont="1" applyFill="1" applyBorder="1" applyAlignment="1">
      <alignment vertical="center" wrapText="1"/>
    </xf>
    <xf numFmtId="166" fontId="10" fillId="4" borderId="4" xfId="0" applyNumberFormat="1" applyFont="1" applyFill="1" applyBorder="1" applyAlignment="1">
      <alignment vertical="center" wrapText="1"/>
    </xf>
    <xf numFmtId="0" fontId="10" fillId="4" borderId="4" xfId="0" applyFont="1" applyFill="1" applyBorder="1"/>
    <xf numFmtId="0" fontId="10" fillId="4" borderId="0" xfId="0" applyFont="1" applyFill="1" applyBorder="1" applyAlignment="1">
      <alignment vertical="center" wrapText="1"/>
    </xf>
    <xf numFmtId="0" fontId="9" fillId="4" borderId="0" xfId="0" applyFont="1" applyFill="1" applyBorder="1"/>
    <xf numFmtId="0" fontId="12" fillId="4" borderId="0" xfId="0" applyFont="1" applyFill="1"/>
    <xf numFmtId="4" fontId="10" fillId="4" borderId="4" xfId="1" applyNumberFormat="1" applyFont="1" applyFill="1" applyBorder="1" applyAlignment="1" applyProtection="1">
      <alignment vertical="center" wrapText="1"/>
    </xf>
    <xf numFmtId="4" fontId="8" fillId="2" borderId="4" xfId="0" applyNumberFormat="1" applyFont="1" applyFill="1" applyBorder="1" applyAlignment="1">
      <alignment vertical="center" wrapText="1"/>
    </xf>
    <xf numFmtId="10" fontId="6" fillId="4" borderId="4" xfId="0" applyNumberFormat="1" applyFont="1" applyFill="1" applyBorder="1" applyAlignment="1">
      <alignment vertical="center" wrapText="1"/>
    </xf>
    <xf numFmtId="0" fontId="13" fillId="4" borderId="0" xfId="0" applyFont="1" applyFill="1" applyBorder="1" applyAlignment="1" applyProtection="1"/>
    <xf numFmtId="0" fontId="9" fillId="4" borderId="4" xfId="0" applyFont="1" applyFill="1" applyBorder="1" applyAlignment="1">
      <alignment vertical="center" wrapText="1"/>
    </xf>
    <xf numFmtId="0" fontId="14" fillId="4" borderId="0" xfId="0" applyFont="1" applyFill="1"/>
    <xf numFmtId="4" fontId="8" fillId="0" borderId="4" xfId="0" applyNumberFormat="1" applyFont="1" applyBorder="1" applyAlignment="1">
      <alignment vertical="center" wrapText="1"/>
    </xf>
    <xf numFmtId="0" fontId="10" fillId="4" borderId="0" xfId="0" applyFont="1" applyFill="1"/>
    <xf numFmtId="2" fontId="9" fillId="4" borderId="0" xfId="0" applyNumberFormat="1" applyFont="1" applyFill="1"/>
    <xf numFmtId="4" fontId="8" fillId="4" borderId="4" xfId="0" applyNumberFormat="1" applyFont="1" applyFill="1" applyBorder="1" applyAlignment="1">
      <alignment vertical="center" wrapText="1"/>
    </xf>
    <xf numFmtId="165" fontId="10" fillId="4" borderId="4" xfId="0" applyNumberFormat="1" applyFont="1" applyFill="1" applyBorder="1" applyAlignment="1">
      <alignment vertical="center" wrapText="1"/>
    </xf>
    <xf numFmtId="3" fontId="10" fillId="4" borderId="4" xfId="0" applyNumberFormat="1" applyFont="1" applyFill="1" applyBorder="1" applyAlignment="1">
      <alignment vertical="center" wrapText="1"/>
    </xf>
    <xf numFmtId="0" fontId="9" fillId="0" borderId="0" xfId="0" applyFont="1"/>
    <xf numFmtId="14" fontId="10" fillId="4" borderId="4" xfId="0" applyNumberFormat="1" applyFont="1" applyFill="1" applyBorder="1" applyAlignment="1">
      <alignment horizontal="left" vertical="center" wrapText="1"/>
    </xf>
    <xf numFmtId="169" fontId="9" fillId="0" borderId="0" xfId="0" applyNumberFormat="1" applyFont="1"/>
    <xf numFmtId="0" fontId="10" fillId="0" borderId="0" xfId="0" applyFont="1"/>
    <xf numFmtId="165" fontId="11" fillId="4" borderId="4" xfId="0" applyNumberFormat="1" applyFont="1" applyFill="1" applyBorder="1" applyAlignment="1">
      <alignment vertical="center" wrapText="1"/>
    </xf>
    <xf numFmtId="10" fontId="9" fillId="0" borderId="0" xfId="0" applyNumberFormat="1" applyFont="1"/>
    <xf numFmtId="4" fontId="9" fillId="0" borderId="0" xfId="0" applyNumberFormat="1" applyFont="1"/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0" fontId="4" fillId="4" borderId="0" xfId="0" applyFont="1" applyFill="1"/>
    <xf numFmtId="0" fontId="4" fillId="4" borderId="4" xfId="0" applyFont="1" applyFill="1" applyBorder="1"/>
    <xf numFmtId="4" fontId="4" fillId="4" borderId="4" xfId="0" applyNumberFormat="1" applyFont="1" applyFill="1" applyBorder="1"/>
    <xf numFmtId="4" fontId="4" fillId="4" borderId="0" xfId="0" applyNumberFormat="1" applyFont="1" applyFill="1"/>
    <xf numFmtId="164" fontId="4" fillId="4" borderId="0" xfId="0" applyNumberFormat="1" applyFont="1" applyFill="1"/>
    <xf numFmtId="4" fontId="11" fillId="4" borderId="4" xfId="0" applyNumberFormat="1" applyFont="1" applyFill="1" applyBorder="1" applyAlignment="1">
      <alignment vertical="center" wrapText="1"/>
    </xf>
    <xf numFmtId="0" fontId="16" fillId="4" borderId="0" xfId="0" applyFont="1" applyFill="1"/>
    <xf numFmtId="0" fontId="17" fillId="4" borderId="0" xfId="0" applyFont="1" applyFill="1" applyAlignment="1">
      <alignment vertical="center"/>
    </xf>
    <xf numFmtId="10" fontId="16" fillId="4" borderId="0" xfId="0" applyNumberFormat="1" applyFont="1" applyFill="1"/>
    <xf numFmtId="4" fontId="16" fillId="4" borderId="0" xfId="0" applyNumberFormat="1" applyFont="1" applyFill="1"/>
    <xf numFmtId="0" fontId="15" fillId="4" borderId="0" xfId="0" applyFont="1" applyFill="1" applyAlignment="1">
      <alignment vertical="center"/>
    </xf>
    <xf numFmtId="0" fontId="17" fillId="4" borderId="4" xfId="0" applyFont="1" applyFill="1" applyBorder="1" applyAlignment="1">
      <alignment vertical="center" wrapText="1"/>
    </xf>
    <xf numFmtId="10" fontId="17" fillId="4" borderId="4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165" fontId="17" fillId="5" borderId="4" xfId="0" applyNumberFormat="1" applyFont="1" applyFill="1" applyBorder="1" applyAlignment="1">
      <alignment vertical="center" wrapText="1"/>
    </xf>
    <xf numFmtId="166" fontId="17" fillId="5" borderId="4" xfId="0" applyNumberFormat="1" applyFont="1" applyFill="1" applyBorder="1" applyAlignment="1">
      <alignment vertical="center" wrapText="1"/>
    </xf>
    <xf numFmtId="0" fontId="15" fillId="4" borderId="19" xfId="0" applyFont="1" applyFill="1" applyBorder="1" applyAlignment="1">
      <alignment vertical="center" wrapText="1"/>
    </xf>
    <xf numFmtId="0" fontId="16" fillId="4" borderId="20" xfId="0" applyFont="1" applyFill="1" applyBorder="1" applyAlignment="1">
      <alignment vertical="top" wrapText="1"/>
    </xf>
    <xf numFmtId="0" fontId="17" fillId="4" borderId="20" xfId="0" applyFont="1" applyFill="1" applyBorder="1" applyAlignment="1">
      <alignment vertical="center" wrapText="1"/>
    </xf>
    <xf numFmtId="165" fontId="16" fillId="4" borderId="0" xfId="0" applyNumberFormat="1" applyFont="1" applyFill="1"/>
    <xf numFmtId="0" fontId="15" fillId="4" borderId="4" xfId="0" applyFont="1" applyFill="1" applyBorder="1" applyAlignment="1">
      <alignment vertical="center" wrapText="1"/>
    </xf>
    <xf numFmtId="14" fontId="17" fillId="4" borderId="4" xfId="0" applyNumberFormat="1" applyFont="1" applyFill="1" applyBorder="1" applyAlignment="1">
      <alignment vertical="center" wrapText="1"/>
    </xf>
    <xf numFmtId="10" fontId="15" fillId="4" borderId="4" xfId="0" applyNumberFormat="1" applyFont="1" applyFill="1" applyBorder="1" applyAlignment="1">
      <alignment vertical="center" wrapText="1"/>
    </xf>
    <xf numFmtId="166" fontId="17" fillId="4" borderId="4" xfId="1" applyNumberFormat="1" applyFont="1" applyFill="1" applyBorder="1" applyAlignment="1" applyProtection="1">
      <alignment vertical="center" wrapText="1"/>
    </xf>
    <xf numFmtId="0" fontId="15" fillId="4" borderId="4" xfId="0" applyFont="1" applyFill="1" applyBorder="1" applyAlignment="1">
      <alignment horizontal="left" vertical="center" wrapText="1"/>
    </xf>
    <xf numFmtId="4" fontId="15" fillId="4" borderId="4" xfId="0" applyNumberFormat="1" applyFont="1" applyFill="1" applyBorder="1" applyAlignment="1">
      <alignment horizontal="center" vertical="center" wrapText="1"/>
    </xf>
    <xf numFmtId="168" fontId="17" fillId="4" borderId="4" xfId="0" applyNumberFormat="1" applyFont="1" applyFill="1" applyBorder="1" applyAlignment="1">
      <alignment vertical="center" wrapText="1"/>
    </xf>
    <xf numFmtId="169" fontId="17" fillId="4" borderId="4" xfId="0" applyNumberFormat="1" applyFont="1" applyFill="1" applyBorder="1" applyAlignment="1">
      <alignment vertical="center" wrapText="1"/>
    </xf>
    <xf numFmtId="166" fontId="17" fillId="4" borderId="4" xfId="0" applyNumberFormat="1" applyFont="1" applyFill="1" applyBorder="1" applyAlignment="1">
      <alignment vertical="center" wrapText="1"/>
    </xf>
    <xf numFmtId="168" fontId="15" fillId="5" borderId="4" xfId="0" applyNumberFormat="1" applyFont="1" applyFill="1" applyBorder="1" applyAlignment="1">
      <alignment vertical="center" wrapText="1"/>
    </xf>
    <xf numFmtId="0" fontId="17" fillId="4" borderId="4" xfId="0" applyFont="1" applyFill="1" applyBorder="1"/>
    <xf numFmtId="0" fontId="17" fillId="4" borderId="0" xfId="0" applyFont="1" applyFill="1" applyBorder="1" applyAlignment="1">
      <alignment vertical="center" wrapText="1"/>
    </xf>
    <xf numFmtId="0" fontId="16" fillId="4" borderId="0" xfId="0" applyFont="1" applyFill="1" applyBorder="1"/>
    <xf numFmtId="169" fontId="16" fillId="4" borderId="0" xfId="0" applyNumberFormat="1" applyFont="1" applyFill="1"/>
    <xf numFmtId="0" fontId="19" fillId="4" borderId="0" xfId="0" applyFont="1" applyFill="1"/>
    <xf numFmtId="4" fontId="15" fillId="7" borderId="4" xfId="0" applyNumberFormat="1" applyFont="1" applyFill="1" applyBorder="1" applyAlignment="1">
      <alignment vertical="center" wrapText="1"/>
    </xf>
    <xf numFmtId="4" fontId="17" fillId="4" borderId="4" xfId="1" applyNumberFormat="1" applyFont="1" applyFill="1" applyBorder="1" applyAlignment="1" applyProtection="1">
      <alignment vertical="center" wrapText="1"/>
    </xf>
    <xf numFmtId="10" fontId="15" fillId="5" borderId="4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20" fillId="4" borderId="0" xfId="0" applyFont="1" applyFill="1" applyBorder="1" applyAlignment="1" applyProtection="1"/>
    <xf numFmtId="0" fontId="16" fillId="4" borderId="4" xfId="0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0" fontId="17" fillId="4" borderId="0" xfId="0" applyFont="1" applyFill="1"/>
    <xf numFmtId="2" fontId="16" fillId="4" borderId="0" xfId="0" applyNumberFormat="1" applyFont="1" applyFill="1"/>
    <xf numFmtId="4" fontId="18" fillId="4" borderId="4" xfId="0" applyNumberFormat="1" applyFont="1" applyFill="1" applyBorder="1" applyAlignment="1">
      <alignment vertical="center" wrapText="1"/>
    </xf>
    <xf numFmtId="165" fontId="17" fillId="4" borderId="4" xfId="0" applyNumberFormat="1" applyFont="1" applyFill="1" applyBorder="1" applyAlignment="1">
      <alignment vertical="center" wrapText="1"/>
    </xf>
    <xf numFmtId="3" fontId="17" fillId="4" borderId="4" xfId="0" applyNumberFormat="1" applyFont="1" applyFill="1" applyBorder="1" applyAlignment="1">
      <alignment vertical="center" wrapText="1"/>
    </xf>
    <xf numFmtId="165" fontId="18" fillId="4" borderId="4" xfId="0" applyNumberFormat="1" applyFont="1" applyFill="1" applyBorder="1" applyAlignment="1">
      <alignment vertical="center" wrapText="1"/>
    </xf>
    <xf numFmtId="170" fontId="16" fillId="4" borderId="0" xfId="0" applyNumberFormat="1" applyFont="1" applyFill="1"/>
    <xf numFmtId="168" fontId="16" fillId="4" borderId="0" xfId="0" applyNumberFormat="1" applyFont="1" applyFill="1"/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 applyAlignment="1">
      <alignment horizontal="center"/>
    </xf>
    <xf numFmtId="166" fontId="25" fillId="4" borderId="0" xfId="0" applyNumberFormat="1" applyFont="1" applyFill="1"/>
    <xf numFmtId="0" fontId="26" fillId="4" borderId="0" xfId="0" applyFont="1" applyFill="1"/>
    <xf numFmtId="0" fontId="23" fillId="4" borderId="0" xfId="0" applyFont="1" applyFill="1" applyAlignment="1">
      <alignment vertical="center"/>
    </xf>
    <xf numFmtId="10" fontId="26" fillId="4" borderId="0" xfId="0" applyNumberFormat="1" applyFont="1" applyFill="1"/>
    <xf numFmtId="4" fontId="26" fillId="4" borderId="0" xfId="0" applyNumberFormat="1" applyFont="1" applyFill="1"/>
    <xf numFmtId="0" fontId="22" fillId="4" borderId="0" xfId="0" applyFont="1" applyFill="1" applyAlignment="1">
      <alignment vertical="center"/>
    </xf>
    <xf numFmtId="0" fontId="23" fillId="4" borderId="26" xfId="0" applyFont="1" applyFill="1" applyBorder="1" applyAlignment="1">
      <alignment vertical="center" wrapText="1"/>
    </xf>
    <xf numFmtId="168" fontId="9" fillId="4" borderId="0" xfId="0" applyNumberFormat="1" applyFont="1" applyFill="1"/>
    <xf numFmtId="171" fontId="9" fillId="0" borderId="0" xfId="0" applyNumberFormat="1" applyFont="1"/>
    <xf numFmtId="10" fontId="17" fillId="4" borderId="4" xfId="0" applyNumberFormat="1" applyFont="1" applyFill="1" applyBorder="1" applyAlignment="1">
      <alignment horizontal="center" vertical="center" wrapText="1"/>
    </xf>
    <xf numFmtId="0" fontId="3" fillId="3" borderId="0" xfId="0" applyFont="1" applyFill="1"/>
    <xf numFmtId="172" fontId="15" fillId="0" borderId="4" xfId="0" applyNumberFormat="1" applyFont="1" applyFill="1" applyBorder="1" applyAlignment="1">
      <alignment vertical="center" wrapText="1"/>
    </xf>
    <xf numFmtId="4" fontId="8" fillId="0" borderId="4" xfId="0" applyNumberFormat="1" applyFont="1" applyFill="1" applyBorder="1" applyAlignment="1">
      <alignment vertical="center" wrapText="1"/>
    </xf>
    <xf numFmtId="10" fontId="15" fillId="0" borderId="4" xfId="0" applyNumberFormat="1" applyFont="1" applyFill="1" applyBorder="1" applyAlignment="1">
      <alignment vertical="center" wrapText="1"/>
    </xf>
    <xf numFmtId="4" fontId="15" fillId="0" borderId="4" xfId="0" applyNumberFormat="1" applyFont="1" applyFill="1" applyBorder="1" applyAlignment="1">
      <alignment vertical="center" wrapText="1"/>
    </xf>
    <xf numFmtId="165" fontId="11" fillId="0" borderId="4" xfId="0" applyNumberFormat="1" applyFont="1" applyFill="1" applyBorder="1" applyAlignment="1">
      <alignment vertical="center" wrapText="1"/>
    </xf>
    <xf numFmtId="0" fontId="23" fillId="4" borderId="26" xfId="0" applyFont="1" applyFill="1" applyBorder="1" applyAlignment="1">
      <alignment vertical="center" wrapText="1"/>
    </xf>
    <xf numFmtId="0" fontId="17" fillId="4" borderId="4" xfId="0" applyFont="1" applyFill="1" applyBorder="1" applyAlignment="1">
      <alignment vertical="center" wrapText="1"/>
    </xf>
    <xf numFmtId="14" fontId="17" fillId="4" borderId="4" xfId="0" applyNumberFormat="1" applyFont="1" applyFill="1" applyBorder="1" applyAlignment="1">
      <alignment horizontal="center" vertical="center" wrapText="1"/>
    </xf>
    <xf numFmtId="4" fontId="0" fillId="4" borderId="0" xfId="0" applyNumberFormat="1" applyFill="1" applyAlignment="1">
      <alignment wrapText="1"/>
    </xf>
    <xf numFmtId="0" fontId="28" fillId="4" borderId="0" xfId="0" applyFont="1" applyFill="1"/>
    <xf numFmtId="0" fontId="3" fillId="4" borderId="7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167" fontId="2" fillId="0" borderId="4" xfId="1" applyBorder="1"/>
    <xf numFmtId="8" fontId="0" fillId="4" borderId="4" xfId="0" applyNumberFormat="1" applyFill="1" applyBorder="1"/>
    <xf numFmtId="8" fontId="0" fillId="4" borderId="0" xfId="0" applyNumberFormat="1" applyFill="1" applyAlignment="1">
      <alignment vertical="center"/>
    </xf>
    <xf numFmtId="0" fontId="22" fillId="4" borderId="2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vertical="center" wrapText="1"/>
    </xf>
    <xf numFmtId="0" fontId="21" fillId="4" borderId="23" xfId="0" applyFont="1" applyFill="1" applyBorder="1" applyAlignment="1">
      <alignment horizontal="center"/>
    </xf>
    <xf numFmtId="0" fontId="21" fillId="4" borderId="24" xfId="0" applyFont="1" applyFill="1" applyBorder="1" applyAlignment="1">
      <alignment horizontal="center"/>
    </xf>
    <xf numFmtId="0" fontId="21" fillId="4" borderId="25" xfId="0" applyFont="1" applyFill="1" applyBorder="1" applyAlignment="1">
      <alignment horizontal="center"/>
    </xf>
    <xf numFmtId="0" fontId="21" fillId="4" borderId="7" xfId="0" applyFont="1" applyFill="1" applyBorder="1" applyAlignment="1">
      <alignment horizontal="center"/>
    </xf>
    <xf numFmtId="0" fontId="21" fillId="4" borderId="0" xfId="0" applyFont="1" applyFill="1" applyBorder="1" applyAlignment="1">
      <alignment horizontal="center"/>
    </xf>
    <xf numFmtId="0" fontId="21" fillId="4" borderId="8" xfId="0" applyFont="1" applyFill="1" applyBorder="1" applyAlignment="1">
      <alignment horizontal="center"/>
    </xf>
    <xf numFmtId="0" fontId="22" fillId="4" borderId="26" xfId="0" applyFont="1" applyFill="1" applyBorder="1" applyAlignment="1">
      <alignment horizontal="center" vertical="center" wrapText="1"/>
    </xf>
    <xf numFmtId="0" fontId="23" fillId="4" borderId="26" xfId="0" applyFont="1" applyFill="1" applyBorder="1" applyAlignment="1">
      <alignment horizontal="center" vertical="center" wrapText="1"/>
    </xf>
    <xf numFmtId="0" fontId="24" fillId="4" borderId="26" xfId="0" applyFont="1" applyFill="1" applyBorder="1" applyAlignment="1">
      <alignment horizontal="center" vertical="center" wrapText="1"/>
    </xf>
    <xf numFmtId="0" fontId="23" fillId="4" borderId="26" xfId="0" applyFont="1" applyFill="1" applyBorder="1" applyAlignment="1">
      <alignment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vertical="center" wrapText="1"/>
    </xf>
    <xf numFmtId="10" fontId="17" fillId="4" borderId="4" xfId="0" applyNumberFormat="1" applyFont="1" applyFill="1" applyBorder="1" applyAlignment="1">
      <alignment vertical="center" wrapText="1"/>
    </xf>
    <xf numFmtId="0" fontId="15" fillId="4" borderId="4" xfId="0" applyFont="1" applyFill="1" applyBorder="1" applyAlignment="1">
      <alignment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left"/>
    </xf>
    <xf numFmtId="0" fontId="8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vertical="center" wrapText="1"/>
    </xf>
    <xf numFmtId="10" fontId="10" fillId="4" borderId="4" xfId="0" applyNumberFormat="1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left" vertical="center" wrapText="1"/>
    </xf>
    <xf numFmtId="0" fontId="10" fillId="4" borderId="22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4" borderId="27" xfId="0" applyFill="1" applyBorder="1" applyAlignment="1">
      <alignment horizontal="center"/>
    </xf>
    <xf numFmtId="0" fontId="7" fillId="3" borderId="5" xfId="2" applyFont="1" applyFill="1" applyBorder="1" applyAlignment="1">
      <alignment horizontal="center"/>
    </xf>
    <xf numFmtId="0" fontId="7" fillId="3" borderId="6" xfId="2" applyFont="1" applyFill="1" applyBorder="1" applyAlignment="1">
      <alignment horizontal="center"/>
    </xf>
    <xf numFmtId="0" fontId="7" fillId="3" borderId="3" xfId="2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</cellXfs>
  <cellStyles count="3">
    <cellStyle name="Moeda" xfId="1" builtinId="4"/>
    <cellStyle name="Normal" xfId="0" builtinId="0"/>
    <cellStyle name="Normal_Cópia de 067 Prop.CVRD TC 169-0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5B3D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558ED5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95250</xdr:rowOff>
    </xdr:from>
    <xdr:to>
      <xdr:col>1</xdr:col>
      <xdr:colOff>1980141</xdr:colOff>
      <xdr:row>2</xdr:row>
      <xdr:rowOff>96309</xdr:rowOff>
    </xdr:to>
    <xdr:grpSp>
      <xdr:nvGrpSpPr>
        <xdr:cNvPr id="10" name="Group 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pSpPr>
          <a:grpSpLocks/>
        </xdr:cNvGrpSpPr>
      </xdr:nvGrpSpPr>
      <xdr:grpSpPr bwMode="auto">
        <a:xfrm>
          <a:off x="676275" y="95250"/>
          <a:ext cx="1913466" cy="458259"/>
          <a:chOff x="-4" y="-244"/>
          <a:chExt cx="3005" cy="735"/>
        </a:xfrm>
      </xdr:grpSpPr>
      <xdr:pic>
        <xdr:nvPicPr>
          <xdr:cNvPr id="11" name="Imagem 10">
            <a:extLst>
              <a:ext uri="{FF2B5EF4-FFF2-40B4-BE49-F238E27FC236}">
                <a16:creationId xmlns:a16="http://schemas.microsoft.com/office/drawing/2014/main" xmlns="" id="{00000000-0008-0000-00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6" y="-148"/>
            <a:ext cx="2749" cy="55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blipFill dpi="0" rotWithShape="0">
                  <a:blip xmlns:r="http://schemas.openxmlformats.org/officeDocument/2006/relationships"/>
                  <a:srcRect/>
                  <a:stretch>
                    <a:fillRect/>
                  </a:stretch>
                </a:blip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12" name="Line 3">
            <a:extLst>
              <a:ext uri="{FF2B5EF4-FFF2-40B4-BE49-F238E27FC236}">
                <a16:creationId xmlns:a16="http://schemas.microsoft.com/office/drawing/2014/main" xmlns="" id="{00000000-0008-0000-0000-00000C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-4" y="488"/>
            <a:ext cx="2989" cy="1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Line 4">
            <a:extLst>
              <a:ext uri="{FF2B5EF4-FFF2-40B4-BE49-F238E27FC236}">
                <a16:creationId xmlns:a16="http://schemas.microsoft.com/office/drawing/2014/main" xmlns="" id="{00000000-0008-0000-0000-00000D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58" y="-244"/>
            <a:ext cx="2843" cy="2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AutoShape 5">
            <a:extLst>
              <a:ext uri="{FF2B5EF4-FFF2-40B4-BE49-F238E27FC236}">
                <a16:creationId xmlns:a16="http://schemas.microsoft.com/office/drawing/2014/main" xmlns="" id="{00000000-0008-0000-0000-00000E000000}"/>
              </a:ext>
            </a:extLst>
          </xdr:cNvPr>
          <xdr:cNvSpPr>
            <a:spLocks noChangeArrowheads="1"/>
          </xdr:cNvSpPr>
        </xdr:nvSpPr>
        <xdr:spPr bwMode="auto">
          <a:xfrm flipH="1">
            <a:off x="7" y="-242"/>
            <a:ext cx="342" cy="461"/>
          </a:xfrm>
          <a:custGeom>
            <a:avLst/>
            <a:gdLst>
              <a:gd name="G0" fmla="sin 10800 -5628425"/>
              <a:gd name="G1" fmla="+- G0 10800 0"/>
              <a:gd name="G2" fmla="cos 10800 -5628425"/>
              <a:gd name="G3" fmla="+- G2 10800 0"/>
              <a:gd name="G4" fmla="sin 10800 489008"/>
              <a:gd name="G5" fmla="+- G4 10800 0"/>
              <a:gd name="G6" fmla="cos 10800 489008"/>
              <a:gd name="G7" fmla="+- G6 10800 0"/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0799 w 21600"/>
              <a:gd name="T13" fmla="*/ 43 h 21600"/>
              <a:gd name="T14" fmla="*/ 21599 w 21600"/>
              <a:gd name="T15" fmla="*/ 12168 h 216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T12" t="T13" r="T14" b="T15"/>
            <a:pathLst>
              <a:path w="21600" h="21600" stroke="0">
                <a:moveTo>
                  <a:pt x="11574" y="27"/>
                </a:moveTo>
                <a:cubicBezTo>
                  <a:pt x="17224" y="434"/>
                  <a:pt x="21600" y="5136"/>
                  <a:pt x="21600" y="10800"/>
                </a:cubicBezTo>
                <a:cubicBezTo>
                  <a:pt x="21600" y="11268"/>
                  <a:pt x="21569" y="11737"/>
                  <a:pt x="21508" y="12202"/>
                </a:cubicBezTo>
                <a:lnTo>
                  <a:pt x="10800" y="10800"/>
                </a:lnTo>
                <a:close/>
              </a:path>
              <a:path w="21600" h="21600" fill="none">
                <a:moveTo>
                  <a:pt x="11574" y="27"/>
                </a:moveTo>
                <a:cubicBezTo>
                  <a:pt x="17224" y="434"/>
                  <a:pt x="21600" y="5136"/>
                  <a:pt x="21600" y="10800"/>
                </a:cubicBezTo>
                <a:cubicBezTo>
                  <a:pt x="21600" y="11268"/>
                  <a:pt x="21569" y="11737"/>
                  <a:pt x="21508" y="12202"/>
                </a:cubicBezTo>
              </a:path>
            </a:pathLst>
          </a:cu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Line 6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SpPr>
            <a:spLocks noChangeShapeType="1"/>
          </xdr:cNvSpPr>
        </xdr:nvSpPr>
        <xdr:spPr bwMode="auto">
          <a:xfrm>
            <a:off x="7" y="11"/>
            <a:ext cx="0" cy="479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Line 7">
            <a:extLst>
              <a:ext uri="{FF2B5EF4-FFF2-40B4-BE49-F238E27FC236}">
                <a16:creationId xmlns:a16="http://schemas.microsoft.com/office/drawing/2014/main" xmlns="" id="{00000000-0008-0000-0000-000010000000}"/>
              </a:ext>
            </a:extLst>
          </xdr:cNvPr>
          <xdr:cNvSpPr>
            <a:spLocks noChangeShapeType="1"/>
          </xdr:cNvSpPr>
        </xdr:nvSpPr>
        <xdr:spPr bwMode="auto">
          <a:xfrm>
            <a:off x="2993" y="-240"/>
            <a:ext cx="0" cy="731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35983</xdr:colOff>
      <xdr:row>0</xdr:row>
      <xdr:rowOff>35982</xdr:rowOff>
    </xdr:from>
    <xdr:to>
      <xdr:col>1</xdr:col>
      <xdr:colOff>1388532</xdr:colOff>
      <xdr:row>1</xdr:row>
      <xdr:rowOff>346074</xdr:rowOff>
    </xdr:to>
    <xdr:grpSp>
      <xdr:nvGrpSpPr>
        <xdr:cNvPr id="3" name="Group 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pSpPr>
          <a:grpSpLocks/>
        </xdr:cNvGrpSpPr>
      </xdr:nvGrpSpPr>
      <xdr:grpSpPr bwMode="auto">
        <a:xfrm>
          <a:off x="35983" y="35982"/>
          <a:ext cx="1914524" cy="462492"/>
          <a:chOff x="-4" y="-244"/>
          <a:chExt cx="3005" cy="735"/>
        </a:xfrm>
      </xdr:grpSpPr>
      <xdr:pic>
        <xdr:nvPicPr>
          <xdr:cNvPr id="4" name="Imagem 3">
            <a:extLst>
              <a:ext uri="{FF2B5EF4-FFF2-40B4-BE49-F238E27FC236}">
                <a16:creationId xmlns:a16="http://schemas.microsoft.com/office/drawing/2014/main" xmlns="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6" y="-148"/>
            <a:ext cx="2749" cy="55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blipFill dpi="0" rotWithShape="0">
                  <a:blip xmlns:r="http://schemas.openxmlformats.org/officeDocument/2006/relationships"/>
                  <a:srcRect/>
                  <a:stretch>
                    <a:fillRect/>
                  </a:stretch>
                </a:blip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5" name="Line 3">
            <a:extLst>
              <a:ext uri="{FF2B5EF4-FFF2-40B4-BE49-F238E27FC236}">
                <a16:creationId xmlns:a16="http://schemas.microsoft.com/office/drawing/2014/main" xmlns="" id="{00000000-0008-0000-0100-00000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-4" y="488"/>
            <a:ext cx="2989" cy="1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Line 4">
            <a:extLst>
              <a:ext uri="{FF2B5EF4-FFF2-40B4-BE49-F238E27FC236}">
                <a16:creationId xmlns:a16="http://schemas.microsoft.com/office/drawing/2014/main" xmlns="" id="{00000000-0008-0000-0100-00000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58" y="-244"/>
            <a:ext cx="2843" cy="2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AutoShape 5">
            <a:extLst>
              <a:ext uri="{FF2B5EF4-FFF2-40B4-BE49-F238E27FC236}">
                <a16:creationId xmlns:a16="http://schemas.microsoft.com/office/drawing/2014/main" xmlns="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 flipH="1">
            <a:off x="7" y="-242"/>
            <a:ext cx="342" cy="461"/>
          </a:xfrm>
          <a:custGeom>
            <a:avLst/>
            <a:gdLst>
              <a:gd name="G0" fmla="sin 10800 -5628425"/>
              <a:gd name="G1" fmla="+- G0 10800 0"/>
              <a:gd name="G2" fmla="cos 10800 -5628425"/>
              <a:gd name="G3" fmla="+- G2 10800 0"/>
              <a:gd name="G4" fmla="sin 10800 489008"/>
              <a:gd name="G5" fmla="+- G4 10800 0"/>
              <a:gd name="G6" fmla="cos 10800 489008"/>
              <a:gd name="G7" fmla="+- G6 10800 0"/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0799 w 21600"/>
              <a:gd name="T13" fmla="*/ 43 h 21600"/>
              <a:gd name="T14" fmla="*/ 21599 w 21600"/>
              <a:gd name="T15" fmla="*/ 12168 h 216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T12" t="T13" r="T14" b="T15"/>
            <a:pathLst>
              <a:path w="21600" h="21600" stroke="0">
                <a:moveTo>
                  <a:pt x="11574" y="27"/>
                </a:moveTo>
                <a:cubicBezTo>
                  <a:pt x="17224" y="434"/>
                  <a:pt x="21600" y="5136"/>
                  <a:pt x="21600" y="10800"/>
                </a:cubicBezTo>
                <a:cubicBezTo>
                  <a:pt x="21600" y="11268"/>
                  <a:pt x="21569" y="11737"/>
                  <a:pt x="21508" y="12202"/>
                </a:cubicBezTo>
                <a:lnTo>
                  <a:pt x="10800" y="10800"/>
                </a:lnTo>
                <a:close/>
              </a:path>
              <a:path w="21600" h="21600" fill="none">
                <a:moveTo>
                  <a:pt x="11574" y="27"/>
                </a:moveTo>
                <a:cubicBezTo>
                  <a:pt x="17224" y="434"/>
                  <a:pt x="21600" y="5136"/>
                  <a:pt x="21600" y="10800"/>
                </a:cubicBezTo>
                <a:cubicBezTo>
                  <a:pt x="21600" y="11268"/>
                  <a:pt x="21569" y="11737"/>
                  <a:pt x="21508" y="12202"/>
                </a:cubicBezTo>
              </a:path>
            </a:pathLst>
          </a:cu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Line 6">
            <a:extLst>
              <a:ext uri="{FF2B5EF4-FFF2-40B4-BE49-F238E27FC236}">
                <a16:creationId xmlns:a16="http://schemas.microsoft.com/office/drawing/2014/main" xmlns="" id="{00000000-0008-0000-0100-000008000000}"/>
              </a:ext>
            </a:extLst>
          </xdr:cNvPr>
          <xdr:cNvSpPr>
            <a:spLocks noChangeShapeType="1"/>
          </xdr:cNvSpPr>
        </xdr:nvSpPr>
        <xdr:spPr bwMode="auto">
          <a:xfrm>
            <a:off x="7" y="11"/>
            <a:ext cx="0" cy="479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Line 7">
            <a:extLst>
              <a:ext uri="{FF2B5EF4-FFF2-40B4-BE49-F238E27FC236}">
                <a16:creationId xmlns:a16="http://schemas.microsoft.com/office/drawing/2014/main" xmlns="" id="{00000000-0008-0000-0100-000009000000}"/>
              </a:ext>
            </a:extLst>
          </xdr:cNvPr>
          <xdr:cNvSpPr>
            <a:spLocks noChangeShapeType="1"/>
          </xdr:cNvSpPr>
        </xdr:nvSpPr>
        <xdr:spPr bwMode="auto">
          <a:xfrm>
            <a:off x="2993" y="-240"/>
            <a:ext cx="0" cy="731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35983</xdr:colOff>
      <xdr:row>0</xdr:row>
      <xdr:rowOff>35982</xdr:rowOff>
    </xdr:from>
    <xdr:to>
      <xdr:col>1</xdr:col>
      <xdr:colOff>1388532</xdr:colOff>
      <xdr:row>2</xdr:row>
      <xdr:rowOff>3174</xdr:rowOff>
    </xdr:to>
    <xdr:grpSp>
      <xdr:nvGrpSpPr>
        <xdr:cNvPr id="4" name="Group 1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GrpSpPr>
          <a:grpSpLocks/>
        </xdr:cNvGrpSpPr>
      </xdr:nvGrpSpPr>
      <xdr:grpSpPr bwMode="auto">
        <a:xfrm>
          <a:off x="35983" y="35982"/>
          <a:ext cx="1914524" cy="491067"/>
          <a:chOff x="-4" y="-244"/>
          <a:chExt cx="3005" cy="735"/>
        </a:xfrm>
      </xdr:grpSpPr>
      <xdr:pic>
        <xdr:nvPicPr>
          <xdr:cNvPr id="5" name="Imagem 4">
            <a:extLst>
              <a:ext uri="{FF2B5EF4-FFF2-40B4-BE49-F238E27FC236}">
                <a16:creationId xmlns:a16="http://schemas.microsoft.com/office/drawing/2014/main" xmlns="" id="{00000000-0008-0000-02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6" y="-148"/>
            <a:ext cx="2749" cy="55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blipFill dpi="0" rotWithShape="0">
                  <a:blip xmlns:r="http://schemas.openxmlformats.org/officeDocument/2006/relationships"/>
                  <a:srcRect/>
                  <a:stretch>
                    <a:fillRect/>
                  </a:stretch>
                </a:blip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6" name="Line 3">
            <a:extLst>
              <a:ext uri="{FF2B5EF4-FFF2-40B4-BE49-F238E27FC236}">
                <a16:creationId xmlns:a16="http://schemas.microsoft.com/office/drawing/2014/main" xmlns="" id="{00000000-0008-0000-0200-00000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-4" y="488"/>
            <a:ext cx="2989" cy="1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Line 4">
            <a:extLst>
              <a:ext uri="{FF2B5EF4-FFF2-40B4-BE49-F238E27FC236}">
                <a16:creationId xmlns:a16="http://schemas.microsoft.com/office/drawing/2014/main" xmlns="" id="{00000000-0008-0000-0200-000007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58" y="-244"/>
            <a:ext cx="2843" cy="2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AutoShape 5">
            <a:extLst>
              <a:ext uri="{FF2B5EF4-FFF2-40B4-BE49-F238E27FC236}">
                <a16:creationId xmlns:a16="http://schemas.microsoft.com/office/drawing/2014/main" xmlns="" id="{00000000-0008-0000-0200-000008000000}"/>
              </a:ext>
            </a:extLst>
          </xdr:cNvPr>
          <xdr:cNvSpPr>
            <a:spLocks noChangeArrowheads="1"/>
          </xdr:cNvSpPr>
        </xdr:nvSpPr>
        <xdr:spPr bwMode="auto">
          <a:xfrm flipH="1">
            <a:off x="7" y="-242"/>
            <a:ext cx="342" cy="461"/>
          </a:xfrm>
          <a:custGeom>
            <a:avLst/>
            <a:gdLst>
              <a:gd name="G0" fmla="sin 10800 -5628425"/>
              <a:gd name="G1" fmla="+- G0 10800 0"/>
              <a:gd name="G2" fmla="cos 10800 -5628425"/>
              <a:gd name="G3" fmla="+- G2 10800 0"/>
              <a:gd name="G4" fmla="sin 10800 489008"/>
              <a:gd name="G5" fmla="+- G4 10800 0"/>
              <a:gd name="G6" fmla="cos 10800 489008"/>
              <a:gd name="G7" fmla="+- G6 10800 0"/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0799 w 21600"/>
              <a:gd name="T13" fmla="*/ 43 h 21600"/>
              <a:gd name="T14" fmla="*/ 21599 w 21600"/>
              <a:gd name="T15" fmla="*/ 12168 h 216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T12" t="T13" r="T14" b="T15"/>
            <a:pathLst>
              <a:path w="21600" h="21600" stroke="0">
                <a:moveTo>
                  <a:pt x="11574" y="27"/>
                </a:moveTo>
                <a:cubicBezTo>
                  <a:pt x="17224" y="434"/>
                  <a:pt x="21600" y="5136"/>
                  <a:pt x="21600" y="10800"/>
                </a:cubicBezTo>
                <a:cubicBezTo>
                  <a:pt x="21600" y="11268"/>
                  <a:pt x="21569" y="11737"/>
                  <a:pt x="21508" y="12202"/>
                </a:cubicBezTo>
                <a:lnTo>
                  <a:pt x="10800" y="10800"/>
                </a:lnTo>
                <a:close/>
              </a:path>
              <a:path w="21600" h="21600" fill="none">
                <a:moveTo>
                  <a:pt x="11574" y="27"/>
                </a:moveTo>
                <a:cubicBezTo>
                  <a:pt x="17224" y="434"/>
                  <a:pt x="21600" y="5136"/>
                  <a:pt x="21600" y="10800"/>
                </a:cubicBezTo>
                <a:cubicBezTo>
                  <a:pt x="21600" y="11268"/>
                  <a:pt x="21569" y="11737"/>
                  <a:pt x="21508" y="12202"/>
                </a:cubicBezTo>
              </a:path>
            </a:pathLst>
          </a:cu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Line 6">
            <a:extLst>
              <a:ext uri="{FF2B5EF4-FFF2-40B4-BE49-F238E27FC236}">
                <a16:creationId xmlns:a16="http://schemas.microsoft.com/office/drawing/2014/main" xmlns="" id="{00000000-0008-0000-0200-000009000000}"/>
              </a:ext>
            </a:extLst>
          </xdr:cNvPr>
          <xdr:cNvSpPr>
            <a:spLocks noChangeShapeType="1"/>
          </xdr:cNvSpPr>
        </xdr:nvSpPr>
        <xdr:spPr bwMode="auto">
          <a:xfrm>
            <a:off x="7" y="11"/>
            <a:ext cx="0" cy="479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Line 7">
            <a:extLst>
              <a:ext uri="{FF2B5EF4-FFF2-40B4-BE49-F238E27FC236}">
                <a16:creationId xmlns:a16="http://schemas.microsoft.com/office/drawing/2014/main" xmlns="" id="{00000000-0008-0000-0200-00000A000000}"/>
              </a:ext>
            </a:extLst>
          </xdr:cNvPr>
          <xdr:cNvSpPr>
            <a:spLocks noChangeShapeType="1"/>
          </xdr:cNvSpPr>
        </xdr:nvSpPr>
        <xdr:spPr bwMode="auto">
          <a:xfrm>
            <a:off x="2993" y="-240"/>
            <a:ext cx="0" cy="731"/>
          </a:xfrm>
          <a:prstGeom prst="line">
            <a:avLst/>
          </a:prstGeom>
          <a:noFill/>
          <a:ln w="12600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xmlns="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xmlns="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xmlns="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xmlns="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xmlns="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xmlns="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xmlns="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xmlns="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xmlns="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xmlns="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xmlns="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xmlns="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xmlns="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xmlns="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xmlns="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xmlns="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xmlns="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xmlns="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xmlns="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xmlns="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xmlns="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xmlns="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xmlns="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xmlns="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xmlns="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xmlns="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xmlns="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xmlns="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xmlns="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xmlns="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xmlns="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xmlns="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xmlns="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xmlns="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xmlns="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xmlns="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xmlns="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xmlns="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xmlns="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xmlns="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xmlns="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xmlns="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xmlns="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xmlns="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xmlns="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xmlns="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xmlns="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xmlns="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xmlns="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xmlns="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xmlns="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xmlns="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xmlns="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xmlns="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xmlns="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xmlns="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xmlns="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xmlns="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xmlns="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xmlns="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xmlns="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xmlns="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xmlns="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xmlns="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xmlns="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xmlns="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82" name="Text Box 82">
          <a:extLst>
            <a:ext uri="{FF2B5EF4-FFF2-40B4-BE49-F238E27FC236}">
              <a16:creationId xmlns:a16="http://schemas.microsoft.com/office/drawing/2014/main" xmlns="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83" name="Text Box 83">
          <a:extLst>
            <a:ext uri="{FF2B5EF4-FFF2-40B4-BE49-F238E27FC236}">
              <a16:creationId xmlns:a16="http://schemas.microsoft.com/office/drawing/2014/main" xmlns="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84" name="Text Box 84">
          <a:extLst>
            <a:ext uri="{FF2B5EF4-FFF2-40B4-BE49-F238E27FC236}">
              <a16:creationId xmlns:a16="http://schemas.microsoft.com/office/drawing/2014/main" xmlns="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85" name="Text Box 85">
          <a:extLst>
            <a:ext uri="{FF2B5EF4-FFF2-40B4-BE49-F238E27FC236}">
              <a16:creationId xmlns:a16="http://schemas.microsoft.com/office/drawing/2014/main" xmlns="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86" name="Text Box 86">
          <a:extLst>
            <a:ext uri="{FF2B5EF4-FFF2-40B4-BE49-F238E27FC236}">
              <a16:creationId xmlns:a16="http://schemas.microsoft.com/office/drawing/2014/main" xmlns="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87" name="Text Box 87">
          <a:extLst>
            <a:ext uri="{FF2B5EF4-FFF2-40B4-BE49-F238E27FC236}">
              <a16:creationId xmlns:a16="http://schemas.microsoft.com/office/drawing/2014/main" xmlns="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88" name="Text Box 88">
          <a:extLst>
            <a:ext uri="{FF2B5EF4-FFF2-40B4-BE49-F238E27FC236}">
              <a16:creationId xmlns:a16="http://schemas.microsoft.com/office/drawing/2014/main" xmlns="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89" name="Text Box 89">
          <a:extLst>
            <a:ext uri="{FF2B5EF4-FFF2-40B4-BE49-F238E27FC236}">
              <a16:creationId xmlns:a16="http://schemas.microsoft.com/office/drawing/2014/main" xmlns="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90" name="Text Box 90">
          <a:extLst>
            <a:ext uri="{FF2B5EF4-FFF2-40B4-BE49-F238E27FC236}">
              <a16:creationId xmlns:a16="http://schemas.microsoft.com/office/drawing/2014/main" xmlns="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91" name="Text Box 91">
          <a:extLst>
            <a:ext uri="{FF2B5EF4-FFF2-40B4-BE49-F238E27FC236}">
              <a16:creationId xmlns:a16="http://schemas.microsoft.com/office/drawing/2014/main" xmlns="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92" name="Text Box 92">
          <a:extLst>
            <a:ext uri="{FF2B5EF4-FFF2-40B4-BE49-F238E27FC236}">
              <a16:creationId xmlns:a16="http://schemas.microsoft.com/office/drawing/2014/main" xmlns="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93" name="Text Box 93">
          <a:extLst>
            <a:ext uri="{FF2B5EF4-FFF2-40B4-BE49-F238E27FC236}">
              <a16:creationId xmlns:a16="http://schemas.microsoft.com/office/drawing/2014/main" xmlns="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94" name="Text Box 94">
          <a:extLst>
            <a:ext uri="{FF2B5EF4-FFF2-40B4-BE49-F238E27FC236}">
              <a16:creationId xmlns:a16="http://schemas.microsoft.com/office/drawing/2014/main" xmlns="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95" name="Text Box 95">
          <a:extLst>
            <a:ext uri="{FF2B5EF4-FFF2-40B4-BE49-F238E27FC236}">
              <a16:creationId xmlns:a16="http://schemas.microsoft.com/office/drawing/2014/main" xmlns="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96" name="Text Box 96">
          <a:extLst>
            <a:ext uri="{FF2B5EF4-FFF2-40B4-BE49-F238E27FC236}">
              <a16:creationId xmlns:a16="http://schemas.microsoft.com/office/drawing/2014/main" xmlns="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97" name="Text Box 97">
          <a:extLst>
            <a:ext uri="{FF2B5EF4-FFF2-40B4-BE49-F238E27FC236}">
              <a16:creationId xmlns:a16="http://schemas.microsoft.com/office/drawing/2014/main" xmlns="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98" name="Text Box 98">
          <a:extLst>
            <a:ext uri="{FF2B5EF4-FFF2-40B4-BE49-F238E27FC236}">
              <a16:creationId xmlns:a16="http://schemas.microsoft.com/office/drawing/2014/main" xmlns="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99" name="Text Box 99">
          <a:extLst>
            <a:ext uri="{FF2B5EF4-FFF2-40B4-BE49-F238E27FC236}">
              <a16:creationId xmlns:a16="http://schemas.microsoft.com/office/drawing/2014/main" xmlns="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00" name="Text Box 100">
          <a:extLst>
            <a:ext uri="{FF2B5EF4-FFF2-40B4-BE49-F238E27FC236}">
              <a16:creationId xmlns:a16="http://schemas.microsoft.com/office/drawing/2014/main" xmlns="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01" name="Text Box 101">
          <a:extLst>
            <a:ext uri="{FF2B5EF4-FFF2-40B4-BE49-F238E27FC236}">
              <a16:creationId xmlns:a16="http://schemas.microsoft.com/office/drawing/2014/main" xmlns="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02" name="Text Box 102">
          <a:extLst>
            <a:ext uri="{FF2B5EF4-FFF2-40B4-BE49-F238E27FC236}">
              <a16:creationId xmlns:a16="http://schemas.microsoft.com/office/drawing/2014/main" xmlns="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03" name="Text Box 103">
          <a:extLst>
            <a:ext uri="{FF2B5EF4-FFF2-40B4-BE49-F238E27FC236}">
              <a16:creationId xmlns:a16="http://schemas.microsoft.com/office/drawing/2014/main" xmlns="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04" name="Text Box 104">
          <a:extLst>
            <a:ext uri="{FF2B5EF4-FFF2-40B4-BE49-F238E27FC236}">
              <a16:creationId xmlns:a16="http://schemas.microsoft.com/office/drawing/2014/main" xmlns="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05" name="Text Box 105">
          <a:extLst>
            <a:ext uri="{FF2B5EF4-FFF2-40B4-BE49-F238E27FC236}">
              <a16:creationId xmlns:a16="http://schemas.microsoft.com/office/drawing/2014/main" xmlns="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06" name="Text Box 106">
          <a:extLst>
            <a:ext uri="{FF2B5EF4-FFF2-40B4-BE49-F238E27FC236}">
              <a16:creationId xmlns:a16="http://schemas.microsoft.com/office/drawing/2014/main" xmlns="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07" name="Text Box 107">
          <a:extLst>
            <a:ext uri="{FF2B5EF4-FFF2-40B4-BE49-F238E27FC236}">
              <a16:creationId xmlns:a16="http://schemas.microsoft.com/office/drawing/2014/main" xmlns="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08" name="Text Box 108">
          <a:extLst>
            <a:ext uri="{FF2B5EF4-FFF2-40B4-BE49-F238E27FC236}">
              <a16:creationId xmlns:a16="http://schemas.microsoft.com/office/drawing/2014/main" xmlns="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09" name="Text Box 109">
          <a:extLst>
            <a:ext uri="{FF2B5EF4-FFF2-40B4-BE49-F238E27FC236}">
              <a16:creationId xmlns:a16="http://schemas.microsoft.com/office/drawing/2014/main" xmlns="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10" name="Text Box 110">
          <a:extLst>
            <a:ext uri="{FF2B5EF4-FFF2-40B4-BE49-F238E27FC236}">
              <a16:creationId xmlns:a16="http://schemas.microsoft.com/office/drawing/2014/main" xmlns="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11" name="Text Box 111">
          <a:extLst>
            <a:ext uri="{FF2B5EF4-FFF2-40B4-BE49-F238E27FC236}">
              <a16:creationId xmlns:a16="http://schemas.microsoft.com/office/drawing/2014/main" xmlns="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12" name="Text Box 112">
          <a:extLst>
            <a:ext uri="{FF2B5EF4-FFF2-40B4-BE49-F238E27FC236}">
              <a16:creationId xmlns:a16="http://schemas.microsoft.com/office/drawing/2014/main" xmlns="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13" name="Text Box 113">
          <a:extLst>
            <a:ext uri="{FF2B5EF4-FFF2-40B4-BE49-F238E27FC236}">
              <a16:creationId xmlns:a16="http://schemas.microsoft.com/office/drawing/2014/main" xmlns="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14" name="Text Box 114">
          <a:extLst>
            <a:ext uri="{FF2B5EF4-FFF2-40B4-BE49-F238E27FC236}">
              <a16:creationId xmlns:a16="http://schemas.microsoft.com/office/drawing/2014/main" xmlns="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15" name="Text Box 115">
          <a:extLst>
            <a:ext uri="{FF2B5EF4-FFF2-40B4-BE49-F238E27FC236}">
              <a16:creationId xmlns:a16="http://schemas.microsoft.com/office/drawing/2014/main" xmlns="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16" name="Text Box 116">
          <a:extLst>
            <a:ext uri="{FF2B5EF4-FFF2-40B4-BE49-F238E27FC236}">
              <a16:creationId xmlns:a16="http://schemas.microsoft.com/office/drawing/2014/main" xmlns="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17" name="Text Box 117">
          <a:extLst>
            <a:ext uri="{FF2B5EF4-FFF2-40B4-BE49-F238E27FC236}">
              <a16:creationId xmlns:a16="http://schemas.microsoft.com/office/drawing/2014/main" xmlns="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18" name="Text Box 118">
          <a:extLst>
            <a:ext uri="{FF2B5EF4-FFF2-40B4-BE49-F238E27FC236}">
              <a16:creationId xmlns:a16="http://schemas.microsoft.com/office/drawing/2014/main" xmlns="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19" name="Text Box 119">
          <a:extLst>
            <a:ext uri="{FF2B5EF4-FFF2-40B4-BE49-F238E27FC236}">
              <a16:creationId xmlns:a16="http://schemas.microsoft.com/office/drawing/2014/main" xmlns="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20" name="Text Box 120">
          <a:extLst>
            <a:ext uri="{FF2B5EF4-FFF2-40B4-BE49-F238E27FC236}">
              <a16:creationId xmlns:a16="http://schemas.microsoft.com/office/drawing/2014/main" xmlns="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21" name="Text Box 121">
          <a:extLst>
            <a:ext uri="{FF2B5EF4-FFF2-40B4-BE49-F238E27FC236}">
              <a16:creationId xmlns:a16="http://schemas.microsoft.com/office/drawing/2014/main" xmlns="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22" name="Text Box 122">
          <a:extLst>
            <a:ext uri="{FF2B5EF4-FFF2-40B4-BE49-F238E27FC236}">
              <a16:creationId xmlns:a16="http://schemas.microsoft.com/office/drawing/2014/main" xmlns="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23" name="Text Box 123">
          <a:extLst>
            <a:ext uri="{FF2B5EF4-FFF2-40B4-BE49-F238E27FC236}">
              <a16:creationId xmlns:a16="http://schemas.microsoft.com/office/drawing/2014/main" xmlns="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24" name="Text Box 124">
          <a:extLst>
            <a:ext uri="{FF2B5EF4-FFF2-40B4-BE49-F238E27FC236}">
              <a16:creationId xmlns:a16="http://schemas.microsoft.com/office/drawing/2014/main" xmlns="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25" name="Text Box 125">
          <a:extLst>
            <a:ext uri="{FF2B5EF4-FFF2-40B4-BE49-F238E27FC236}">
              <a16:creationId xmlns:a16="http://schemas.microsoft.com/office/drawing/2014/main" xmlns="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26" name="Text Box 126">
          <a:extLst>
            <a:ext uri="{FF2B5EF4-FFF2-40B4-BE49-F238E27FC236}">
              <a16:creationId xmlns:a16="http://schemas.microsoft.com/office/drawing/2014/main" xmlns="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27" name="Text Box 127">
          <a:extLst>
            <a:ext uri="{FF2B5EF4-FFF2-40B4-BE49-F238E27FC236}">
              <a16:creationId xmlns:a16="http://schemas.microsoft.com/office/drawing/2014/main" xmlns="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28" name="Text Box 128">
          <a:extLst>
            <a:ext uri="{FF2B5EF4-FFF2-40B4-BE49-F238E27FC236}">
              <a16:creationId xmlns:a16="http://schemas.microsoft.com/office/drawing/2014/main" xmlns="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29" name="Text Box 129">
          <a:extLst>
            <a:ext uri="{FF2B5EF4-FFF2-40B4-BE49-F238E27FC236}">
              <a16:creationId xmlns:a16="http://schemas.microsoft.com/office/drawing/2014/main" xmlns="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30" name="Text Box 130">
          <a:extLst>
            <a:ext uri="{FF2B5EF4-FFF2-40B4-BE49-F238E27FC236}">
              <a16:creationId xmlns:a16="http://schemas.microsoft.com/office/drawing/2014/main" xmlns="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31" name="Text Box 131">
          <a:extLst>
            <a:ext uri="{FF2B5EF4-FFF2-40B4-BE49-F238E27FC236}">
              <a16:creationId xmlns:a16="http://schemas.microsoft.com/office/drawing/2014/main" xmlns="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32" name="Text Box 132">
          <a:extLst>
            <a:ext uri="{FF2B5EF4-FFF2-40B4-BE49-F238E27FC236}">
              <a16:creationId xmlns:a16="http://schemas.microsoft.com/office/drawing/2014/main" xmlns="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33" name="Text Box 133">
          <a:extLst>
            <a:ext uri="{FF2B5EF4-FFF2-40B4-BE49-F238E27FC236}">
              <a16:creationId xmlns:a16="http://schemas.microsoft.com/office/drawing/2014/main" xmlns="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34" name="Text Box 134">
          <a:extLst>
            <a:ext uri="{FF2B5EF4-FFF2-40B4-BE49-F238E27FC236}">
              <a16:creationId xmlns:a16="http://schemas.microsoft.com/office/drawing/2014/main" xmlns="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35" name="Text Box 135">
          <a:extLst>
            <a:ext uri="{FF2B5EF4-FFF2-40B4-BE49-F238E27FC236}">
              <a16:creationId xmlns:a16="http://schemas.microsoft.com/office/drawing/2014/main" xmlns="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36" name="Text Box 136">
          <a:extLst>
            <a:ext uri="{FF2B5EF4-FFF2-40B4-BE49-F238E27FC236}">
              <a16:creationId xmlns:a16="http://schemas.microsoft.com/office/drawing/2014/main" xmlns="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37" name="Text Box 137">
          <a:extLst>
            <a:ext uri="{FF2B5EF4-FFF2-40B4-BE49-F238E27FC236}">
              <a16:creationId xmlns:a16="http://schemas.microsoft.com/office/drawing/2014/main" xmlns="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38" name="Text Box 138">
          <a:extLst>
            <a:ext uri="{FF2B5EF4-FFF2-40B4-BE49-F238E27FC236}">
              <a16:creationId xmlns:a16="http://schemas.microsoft.com/office/drawing/2014/main" xmlns="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39" name="Text Box 139">
          <a:extLst>
            <a:ext uri="{FF2B5EF4-FFF2-40B4-BE49-F238E27FC236}">
              <a16:creationId xmlns:a16="http://schemas.microsoft.com/office/drawing/2014/main" xmlns="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40" name="Text Box 140">
          <a:extLst>
            <a:ext uri="{FF2B5EF4-FFF2-40B4-BE49-F238E27FC236}">
              <a16:creationId xmlns:a16="http://schemas.microsoft.com/office/drawing/2014/main" xmlns="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41" name="Text Box 141">
          <a:extLst>
            <a:ext uri="{FF2B5EF4-FFF2-40B4-BE49-F238E27FC236}">
              <a16:creationId xmlns:a16="http://schemas.microsoft.com/office/drawing/2014/main" xmlns="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42" name="Text Box 142">
          <a:extLst>
            <a:ext uri="{FF2B5EF4-FFF2-40B4-BE49-F238E27FC236}">
              <a16:creationId xmlns:a16="http://schemas.microsoft.com/office/drawing/2014/main" xmlns="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43" name="Text Box 143">
          <a:extLst>
            <a:ext uri="{FF2B5EF4-FFF2-40B4-BE49-F238E27FC236}">
              <a16:creationId xmlns:a16="http://schemas.microsoft.com/office/drawing/2014/main" xmlns="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44" name="Text Box 144">
          <a:extLst>
            <a:ext uri="{FF2B5EF4-FFF2-40B4-BE49-F238E27FC236}">
              <a16:creationId xmlns:a16="http://schemas.microsoft.com/office/drawing/2014/main" xmlns="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45" name="Text Box 145">
          <a:extLst>
            <a:ext uri="{FF2B5EF4-FFF2-40B4-BE49-F238E27FC236}">
              <a16:creationId xmlns:a16="http://schemas.microsoft.com/office/drawing/2014/main" xmlns="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46" name="Text Box 146">
          <a:extLst>
            <a:ext uri="{FF2B5EF4-FFF2-40B4-BE49-F238E27FC236}">
              <a16:creationId xmlns:a16="http://schemas.microsoft.com/office/drawing/2014/main" xmlns="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47" name="Text Box 147">
          <a:extLst>
            <a:ext uri="{FF2B5EF4-FFF2-40B4-BE49-F238E27FC236}">
              <a16:creationId xmlns:a16="http://schemas.microsoft.com/office/drawing/2014/main" xmlns="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48" name="Text Box 148">
          <a:extLst>
            <a:ext uri="{FF2B5EF4-FFF2-40B4-BE49-F238E27FC236}">
              <a16:creationId xmlns:a16="http://schemas.microsoft.com/office/drawing/2014/main" xmlns="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49" name="Text Box 149">
          <a:extLst>
            <a:ext uri="{FF2B5EF4-FFF2-40B4-BE49-F238E27FC236}">
              <a16:creationId xmlns:a16="http://schemas.microsoft.com/office/drawing/2014/main" xmlns="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50" name="Text Box 150">
          <a:extLst>
            <a:ext uri="{FF2B5EF4-FFF2-40B4-BE49-F238E27FC236}">
              <a16:creationId xmlns:a16="http://schemas.microsoft.com/office/drawing/2014/main" xmlns="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51" name="Text Box 151">
          <a:extLst>
            <a:ext uri="{FF2B5EF4-FFF2-40B4-BE49-F238E27FC236}">
              <a16:creationId xmlns:a16="http://schemas.microsoft.com/office/drawing/2014/main" xmlns="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52" name="Text Box 152">
          <a:extLst>
            <a:ext uri="{FF2B5EF4-FFF2-40B4-BE49-F238E27FC236}">
              <a16:creationId xmlns:a16="http://schemas.microsoft.com/office/drawing/2014/main" xmlns="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53" name="Text Box 153">
          <a:extLst>
            <a:ext uri="{FF2B5EF4-FFF2-40B4-BE49-F238E27FC236}">
              <a16:creationId xmlns:a16="http://schemas.microsoft.com/office/drawing/2014/main" xmlns="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54" name="Text Box 154">
          <a:extLst>
            <a:ext uri="{FF2B5EF4-FFF2-40B4-BE49-F238E27FC236}">
              <a16:creationId xmlns:a16="http://schemas.microsoft.com/office/drawing/2014/main" xmlns="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55" name="Text Box 155">
          <a:extLst>
            <a:ext uri="{FF2B5EF4-FFF2-40B4-BE49-F238E27FC236}">
              <a16:creationId xmlns:a16="http://schemas.microsoft.com/office/drawing/2014/main" xmlns="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56" name="Text Box 156">
          <a:extLst>
            <a:ext uri="{FF2B5EF4-FFF2-40B4-BE49-F238E27FC236}">
              <a16:creationId xmlns:a16="http://schemas.microsoft.com/office/drawing/2014/main" xmlns="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57" name="Text Box 157">
          <a:extLst>
            <a:ext uri="{FF2B5EF4-FFF2-40B4-BE49-F238E27FC236}">
              <a16:creationId xmlns:a16="http://schemas.microsoft.com/office/drawing/2014/main" xmlns="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58" name="Text Box 158">
          <a:extLst>
            <a:ext uri="{FF2B5EF4-FFF2-40B4-BE49-F238E27FC236}">
              <a16:creationId xmlns:a16="http://schemas.microsoft.com/office/drawing/2014/main" xmlns="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59" name="Text Box 159">
          <a:extLst>
            <a:ext uri="{FF2B5EF4-FFF2-40B4-BE49-F238E27FC236}">
              <a16:creationId xmlns:a16="http://schemas.microsoft.com/office/drawing/2014/main" xmlns="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60" name="Text Box 160">
          <a:extLst>
            <a:ext uri="{FF2B5EF4-FFF2-40B4-BE49-F238E27FC236}">
              <a16:creationId xmlns:a16="http://schemas.microsoft.com/office/drawing/2014/main" xmlns="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61" name="Text Box 161">
          <a:extLst>
            <a:ext uri="{FF2B5EF4-FFF2-40B4-BE49-F238E27FC236}">
              <a16:creationId xmlns:a16="http://schemas.microsoft.com/office/drawing/2014/main" xmlns="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62" name="Text Box 163">
          <a:extLst>
            <a:ext uri="{FF2B5EF4-FFF2-40B4-BE49-F238E27FC236}">
              <a16:creationId xmlns:a16="http://schemas.microsoft.com/office/drawing/2014/main" xmlns="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63" name="Text Box 164">
          <a:extLst>
            <a:ext uri="{FF2B5EF4-FFF2-40B4-BE49-F238E27FC236}">
              <a16:creationId xmlns:a16="http://schemas.microsoft.com/office/drawing/2014/main" xmlns="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64" name="Text Box 165">
          <a:extLst>
            <a:ext uri="{FF2B5EF4-FFF2-40B4-BE49-F238E27FC236}">
              <a16:creationId xmlns:a16="http://schemas.microsoft.com/office/drawing/2014/main" xmlns="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65" name="Text Box 166">
          <a:extLst>
            <a:ext uri="{FF2B5EF4-FFF2-40B4-BE49-F238E27FC236}">
              <a16:creationId xmlns:a16="http://schemas.microsoft.com/office/drawing/2014/main" xmlns="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66" name="Text Box 167">
          <a:extLst>
            <a:ext uri="{FF2B5EF4-FFF2-40B4-BE49-F238E27FC236}">
              <a16:creationId xmlns:a16="http://schemas.microsoft.com/office/drawing/2014/main" xmlns="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67" name="Text Box 168">
          <a:extLst>
            <a:ext uri="{FF2B5EF4-FFF2-40B4-BE49-F238E27FC236}">
              <a16:creationId xmlns:a16="http://schemas.microsoft.com/office/drawing/2014/main" xmlns="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68" name="Text Box 169">
          <a:extLst>
            <a:ext uri="{FF2B5EF4-FFF2-40B4-BE49-F238E27FC236}">
              <a16:creationId xmlns:a16="http://schemas.microsoft.com/office/drawing/2014/main" xmlns="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69" name="Text Box 170">
          <a:extLst>
            <a:ext uri="{FF2B5EF4-FFF2-40B4-BE49-F238E27FC236}">
              <a16:creationId xmlns:a16="http://schemas.microsoft.com/office/drawing/2014/main" xmlns="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70" name="Text Box 171">
          <a:extLst>
            <a:ext uri="{FF2B5EF4-FFF2-40B4-BE49-F238E27FC236}">
              <a16:creationId xmlns:a16="http://schemas.microsoft.com/office/drawing/2014/main" xmlns="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71" name="Text Box 172">
          <a:extLst>
            <a:ext uri="{FF2B5EF4-FFF2-40B4-BE49-F238E27FC236}">
              <a16:creationId xmlns:a16="http://schemas.microsoft.com/office/drawing/2014/main" xmlns="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72" name="Text Box 173">
          <a:extLst>
            <a:ext uri="{FF2B5EF4-FFF2-40B4-BE49-F238E27FC236}">
              <a16:creationId xmlns:a16="http://schemas.microsoft.com/office/drawing/2014/main" xmlns="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73" name="Text Box 174">
          <a:extLst>
            <a:ext uri="{FF2B5EF4-FFF2-40B4-BE49-F238E27FC236}">
              <a16:creationId xmlns:a16="http://schemas.microsoft.com/office/drawing/2014/main" xmlns="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74" name="Text Box 175">
          <a:extLst>
            <a:ext uri="{FF2B5EF4-FFF2-40B4-BE49-F238E27FC236}">
              <a16:creationId xmlns:a16="http://schemas.microsoft.com/office/drawing/2014/main" xmlns="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75" name="Text Box 176">
          <a:extLst>
            <a:ext uri="{FF2B5EF4-FFF2-40B4-BE49-F238E27FC236}">
              <a16:creationId xmlns:a16="http://schemas.microsoft.com/office/drawing/2014/main" xmlns="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76" name="Text Box 177">
          <a:extLst>
            <a:ext uri="{FF2B5EF4-FFF2-40B4-BE49-F238E27FC236}">
              <a16:creationId xmlns:a16="http://schemas.microsoft.com/office/drawing/2014/main" xmlns="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77" name="Text Box 178">
          <a:extLst>
            <a:ext uri="{FF2B5EF4-FFF2-40B4-BE49-F238E27FC236}">
              <a16:creationId xmlns:a16="http://schemas.microsoft.com/office/drawing/2014/main" xmlns="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78" name="Text Box 179">
          <a:extLst>
            <a:ext uri="{FF2B5EF4-FFF2-40B4-BE49-F238E27FC236}">
              <a16:creationId xmlns:a16="http://schemas.microsoft.com/office/drawing/2014/main" xmlns="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79" name="Text Box 180">
          <a:extLst>
            <a:ext uri="{FF2B5EF4-FFF2-40B4-BE49-F238E27FC236}">
              <a16:creationId xmlns:a16="http://schemas.microsoft.com/office/drawing/2014/main" xmlns="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80" name="Text Box 181">
          <a:extLst>
            <a:ext uri="{FF2B5EF4-FFF2-40B4-BE49-F238E27FC236}">
              <a16:creationId xmlns:a16="http://schemas.microsoft.com/office/drawing/2014/main" xmlns="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81" name="Text Box 182">
          <a:extLst>
            <a:ext uri="{FF2B5EF4-FFF2-40B4-BE49-F238E27FC236}">
              <a16:creationId xmlns:a16="http://schemas.microsoft.com/office/drawing/2014/main" xmlns="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82" name="Text Box 183">
          <a:extLst>
            <a:ext uri="{FF2B5EF4-FFF2-40B4-BE49-F238E27FC236}">
              <a16:creationId xmlns:a16="http://schemas.microsoft.com/office/drawing/2014/main" xmlns="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83" name="Text Box 184">
          <a:extLst>
            <a:ext uri="{FF2B5EF4-FFF2-40B4-BE49-F238E27FC236}">
              <a16:creationId xmlns:a16="http://schemas.microsoft.com/office/drawing/2014/main" xmlns="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84" name="Text Box 185">
          <a:extLst>
            <a:ext uri="{FF2B5EF4-FFF2-40B4-BE49-F238E27FC236}">
              <a16:creationId xmlns:a16="http://schemas.microsoft.com/office/drawing/2014/main" xmlns="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85" name="Text Box 186">
          <a:extLst>
            <a:ext uri="{FF2B5EF4-FFF2-40B4-BE49-F238E27FC236}">
              <a16:creationId xmlns:a16="http://schemas.microsoft.com/office/drawing/2014/main" xmlns="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86" name="Text Box 187">
          <a:extLst>
            <a:ext uri="{FF2B5EF4-FFF2-40B4-BE49-F238E27FC236}">
              <a16:creationId xmlns:a16="http://schemas.microsoft.com/office/drawing/2014/main" xmlns="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87" name="Text Box 188">
          <a:extLst>
            <a:ext uri="{FF2B5EF4-FFF2-40B4-BE49-F238E27FC236}">
              <a16:creationId xmlns:a16="http://schemas.microsoft.com/office/drawing/2014/main" xmlns="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88" name="Text Box 189">
          <a:extLst>
            <a:ext uri="{FF2B5EF4-FFF2-40B4-BE49-F238E27FC236}">
              <a16:creationId xmlns:a16="http://schemas.microsoft.com/office/drawing/2014/main" xmlns="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89" name="Text Box 190">
          <a:extLst>
            <a:ext uri="{FF2B5EF4-FFF2-40B4-BE49-F238E27FC236}">
              <a16:creationId xmlns:a16="http://schemas.microsoft.com/office/drawing/2014/main" xmlns="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90" name="Text Box 191">
          <a:extLst>
            <a:ext uri="{FF2B5EF4-FFF2-40B4-BE49-F238E27FC236}">
              <a16:creationId xmlns:a16="http://schemas.microsoft.com/office/drawing/2014/main" xmlns="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91" name="Text Box 192">
          <a:extLst>
            <a:ext uri="{FF2B5EF4-FFF2-40B4-BE49-F238E27FC236}">
              <a16:creationId xmlns:a16="http://schemas.microsoft.com/office/drawing/2014/main" xmlns="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92" name="Text Box 193">
          <a:extLst>
            <a:ext uri="{FF2B5EF4-FFF2-40B4-BE49-F238E27FC236}">
              <a16:creationId xmlns:a16="http://schemas.microsoft.com/office/drawing/2014/main" xmlns="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93" name="Text Box 194">
          <a:extLst>
            <a:ext uri="{FF2B5EF4-FFF2-40B4-BE49-F238E27FC236}">
              <a16:creationId xmlns:a16="http://schemas.microsoft.com/office/drawing/2014/main" xmlns="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94" name="Text Box 195">
          <a:extLst>
            <a:ext uri="{FF2B5EF4-FFF2-40B4-BE49-F238E27FC236}">
              <a16:creationId xmlns:a16="http://schemas.microsoft.com/office/drawing/2014/main" xmlns="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95" name="Text Box 196">
          <a:extLst>
            <a:ext uri="{FF2B5EF4-FFF2-40B4-BE49-F238E27FC236}">
              <a16:creationId xmlns:a16="http://schemas.microsoft.com/office/drawing/2014/main" xmlns="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96" name="Text Box 197">
          <a:extLst>
            <a:ext uri="{FF2B5EF4-FFF2-40B4-BE49-F238E27FC236}">
              <a16:creationId xmlns:a16="http://schemas.microsoft.com/office/drawing/2014/main" xmlns="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97" name="Text Box 198">
          <a:extLst>
            <a:ext uri="{FF2B5EF4-FFF2-40B4-BE49-F238E27FC236}">
              <a16:creationId xmlns:a16="http://schemas.microsoft.com/office/drawing/2014/main" xmlns="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98" name="Text Box 199">
          <a:extLst>
            <a:ext uri="{FF2B5EF4-FFF2-40B4-BE49-F238E27FC236}">
              <a16:creationId xmlns:a16="http://schemas.microsoft.com/office/drawing/2014/main" xmlns="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199" name="Text Box 200">
          <a:extLst>
            <a:ext uri="{FF2B5EF4-FFF2-40B4-BE49-F238E27FC236}">
              <a16:creationId xmlns:a16="http://schemas.microsoft.com/office/drawing/2014/main" xmlns="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00" name="Text Box 201">
          <a:extLst>
            <a:ext uri="{FF2B5EF4-FFF2-40B4-BE49-F238E27FC236}">
              <a16:creationId xmlns:a16="http://schemas.microsoft.com/office/drawing/2014/main" xmlns="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66675</xdr:colOff>
      <xdr:row>2</xdr:row>
      <xdr:rowOff>19050</xdr:rowOff>
    </xdr:to>
    <xdr:sp macro="" textlink="">
      <xdr:nvSpPr>
        <xdr:cNvPr id="201" name="Text Box 202">
          <a:extLst>
            <a:ext uri="{FF2B5EF4-FFF2-40B4-BE49-F238E27FC236}">
              <a16:creationId xmlns:a16="http://schemas.microsoft.com/office/drawing/2014/main" xmlns="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3924300" y="0"/>
          <a:ext cx="66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view="pageBreakPreview" zoomScaleSheetLayoutView="100" workbookViewId="0">
      <selection activeCell="B25" sqref="B25"/>
    </sheetView>
  </sheetViews>
  <sheetFormatPr defaultRowHeight="15.75" x14ac:dyDescent="0.25"/>
  <cols>
    <col min="1" max="1" width="9.140625" style="97"/>
    <col min="2" max="2" width="35.85546875" style="97" customWidth="1"/>
    <col min="3" max="3" width="13.28515625" style="100" bestFit="1" customWidth="1"/>
    <col min="4" max="4" width="14.28515625" style="97" customWidth="1"/>
    <col min="5" max="5" width="15.140625" style="97" customWidth="1"/>
    <col min="6" max="6" width="15.28515625" style="97" customWidth="1"/>
    <col min="7" max="7" width="12.42578125" style="97" bestFit="1" customWidth="1"/>
    <col min="8" max="16384" width="9.140625" style="97"/>
  </cols>
  <sheetData>
    <row r="1" spans="1:7" s="1" customFormat="1" ht="18" x14ac:dyDescent="0.25">
      <c r="B1" s="179" t="s">
        <v>179</v>
      </c>
      <c r="C1" s="180"/>
      <c r="D1" s="180"/>
      <c r="E1" s="180"/>
      <c r="F1" s="181"/>
    </row>
    <row r="2" spans="1:7" s="1" customFormat="1" ht="18" x14ac:dyDescent="0.25">
      <c r="B2" s="182" t="s">
        <v>180</v>
      </c>
      <c r="C2" s="183"/>
      <c r="D2" s="183"/>
      <c r="E2" s="183"/>
      <c r="F2" s="184"/>
    </row>
    <row r="3" spans="1:7" s="1" customFormat="1" thickBot="1" x14ac:dyDescent="0.3">
      <c r="B3" s="8"/>
      <c r="C3" s="147"/>
      <c r="D3" s="148"/>
      <c r="E3" s="148"/>
      <c r="F3" s="9"/>
    </row>
    <row r="4" spans="1:7" s="1" customFormat="1" thickBot="1" x14ac:dyDescent="0.3">
      <c r="A4" s="177"/>
      <c r="B4" s="185" t="s">
        <v>0</v>
      </c>
      <c r="C4" s="185"/>
      <c r="D4" s="185"/>
      <c r="E4" s="185"/>
      <c r="F4" s="185"/>
    </row>
    <row r="5" spans="1:7" s="149" customFormat="1" thickBot="1" x14ac:dyDescent="0.3">
      <c r="A5" s="177"/>
      <c r="B5" s="186" t="s">
        <v>213</v>
      </c>
      <c r="C5" s="186"/>
      <c r="D5" s="186"/>
      <c r="E5" s="186"/>
      <c r="F5" s="186"/>
    </row>
    <row r="6" spans="1:7" s="1" customFormat="1" thickBot="1" x14ac:dyDescent="0.3">
      <c r="A6" s="177"/>
      <c r="B6" s="186" t="s">
        <v>214</v>
      </c>
      <c r="C6" s="186"/>
      <c r="D6" s="186"/>
      <c r="E6" s="186"/>
      <c r="F6" s="186"/>
    </row>
    <row r="7" spans="1:7" s="1" customFormat="1" thickBot="1" x14ac:dyDescent="0.3">
      <c r="A7" s="177"/>
      <c r="B7" s="187"/>
      <c r="C7" s="187"/>
      <c r="D7" s="187"/>
      <c r="E7" s="187"/>
      <c r="F7" s="187"/>
    </row>
    <row r="8" spans="1:7" s="150" customFormat="1" ht="16.5" thickBot="1" x14ac:dyDescent="0.3">
      <c r="A8" s="177"/>
      <c r="B8" s="188" t="s">
        <v>205</v>
      </c>
      <c r="C8" s="188"/>
      <c r="D8" s="188"/>
      <c r="E8" s="188"/>
      <c r="F8" s="188"/>
    </row>
    <row r="9" spans="1:7" s="1" customFormat="1" thickBot="1" x14ac:dyDescent="0.3">
      <c r="A9" s="177"/>
      <c r="B9" s="188" t="s">
        <v>1</v>
      </c>
      <c r="C9" s="188"/>
      <c r="D9" s="188"/>
      <c r="E9" s="188"/>
      <c r="F9" s="188"/>
    </row>
    <row r="10" spans="1:7" s="1" customFormat="1" thickBot="1" x14ac:dyDescent="0.3">
      <c r="A10" s="177"/>
      <c r="B10" s="188" t="s">
        <v>217</v>
      </c>
      <c r="C10" s="188"/>
      <c r="D10" s="188"/>
      <c r="E10" s="188"/>
      <c r="F10" s="188"/>
    </row>
    <row r="11" spans="1:7" s="1" customFormat="1" thickBot="1" x14ac:dyDescent="0.3">
      <c r="A11" s="177"/>
      <c r="B11" s="188" t="s">
        <v>2</v>
      </c>
      <c r="C11" s="188"/>
      <c r="D11" s="188"/>
      <c r="E11" s="188"/>
      <c r="F11" s="188"/>
    </row>
    <row r="12" spans="1:7" x14ac:dyDescent="0.25">
      <c r="B12" s="98"/>
      <c r="C12" s="99"/>
      <c r="D12" s="98"/>
      <c r="E12" s="98"/>
      <c r="F12" s="98"/>
    </row>
    <row r="13" spans="1:7" ht="31.5" x14ac:dyDescent="0.25">
      <c r="A13" s="92" t="s">
        <v>234</v>
      </c>
      <c r="B13" s="92" t="s">
        <v>181</v>
      </c>
      <c r="C13" s="92" t="s">
        <v>182</v>
      </c>
      <c r="D13" s="92" t="s">
        <v>183</v>
      </c>
      <c r="E13" s="92" t="s">
        <v>184</v>
      </c>
      <c r="F13" s="92" t="s">
        <v>185</v>
      </c>
    </row>
    <row r="14" spans="1:7" x14ac:dyDescent="0.25">
      <c r="A14" s="93">
        <v>1</v>
      </c>
      <c r="B14" s="93" t="s">
        <v>186</v>
      </c>
      <c r="C14" s="94">
        <v>1</v>
      </c>
      <c r="D14" s="95">
        <f>'Anexo III - Posto Diurno'!E169</f>
        <v>9127.41</v>
      </c>
      <c r="E14" s="95">
        <f>C14*D14</f>
        <v>9127.41</v>
      </c>
      <c r="F14" s="95">
        <f>E14*12</f>
        <v>109528.92</v>
      </c>
    </row>
    <row r="15" spans="1:7" x14ac:dyDescent="0.25">
      <c r="A15" s="93">
        <v>2</v>
      </c>
      <c r="B15" s="93" t="s">
        <v>187</v>
      </c>
      <c r="C15" s="94">
        <v>1</v>
      </c>
      <c r="D15" s="95">
        <f>'Anexo III - Posto Noturno'!E168</f>
        <v>10376.5</v>
      </c>
      <c r="E15" s="95">
        <f>C15*D15</f>
        <v>10376.5</v>
      </c>
      <c r="F15" s="95">
        <f>E15*12</f>
        <v>124518</v>
      </c>
    </row>
    <row r="16" spans="1:7" x14ac:dyDescent="0.25">
      <c r="A16" s="93"/>
      <c r="B16" s="178" t="s">
        <v>212</v>
      </c>
      <c r="C16" s="178"/>
      <c r="D16" s="178"/>
      <c r="E16" s="178"/>
      <c r="F16" s="96">
        <f>E14+E15</f>
        <v>19503.91</v>
      </c>
      <c r="G16" s="101"/>
    </row>
    <row r="17" spans="1:7" x14ac:dyDescent="0.25">
      <c r="A17" s="93"/>
      <c r="B17" s="178" t="s">
        <v>211</v>
      </c>
      <c r="C17" s="178"/>
      <c r="D17" s="178"/>
      <c r="E17" s="178"/>
      <c r="F17" s="96">
        <f>F16*12</f>
        <v>234046.91999999998</v>
      </c>
      <c r="G17" s="101"/>
    </row>
  </sheetData>
  <mergeCells count="12">
    <mergeCell ref="B16:E16"/>
    <mergeCell ref="B17:E17"/>
    <mergeCell ref="B1:F1"/>
    <mergeCell ref="B2:F2"/>
    <mergeCell ref="B4:F4"/>
    <mergeCell ref="B5:F5"/>
    <mergeCell ref="B6:F6"/>
    <mergeCell ref="B7:F7"/>
    <mergeCell ref="B8:F8"/>
    <mergeCell ref="B9:F9"/>
    <mergeCell ref="B10:F10"/>
    <mergeCell ref="B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0"/>
  <sheetViews>
    <sheetView view="pageBreakPreview" topLeftCell="A136" zoomScaleSheetLayoutView="100" workbookViewId="0">
      <selection activeCell="E180" sqref="E180"/>
    </sheetView>
  </sheetViews>
  <sheetFormatPr defaultColWidth="10" defaultRowHeight="12.75" x14ac:dyDescent="0.2"/>
  <cols>
    <col min="1" max="1" width="8.42578125" style="103" customWidth="1"/>
    <col min="2" max="2" width="54.28515625" style="103" customWidth="1"/>
    <col min="3" max="3" width="15.28515625" style="105" customWidth="1"/>
    <col min="4" max="4" width="13.140625" style="106" customWidth="1"/>
    <col min="5" max="5" width="15.5703125" style="103" customWidth="1"/>
    <col min="6" max="6" width="16.7109375" style="103" customWidth="1"/>
    <col min="7" max="7" width="12" style="103" bestFit="1" customWidth="1"/>
    <col min="8" max="16384" width="10" style="103"/>
  </cols>
  <sheetData>
    <row r="1" spans="1:6" s="151" customFormat="1" ht="12" x14ac:dyDescent="0.2">
      <c r="A1" s="195" t="s">
        <v>201</v>
      </c>
      <c r="B1" s="195"/>
      <c r="C1" s="195"/>
      <c r="D1" s="195"/>
      <c r="E1" s="195"/>
      <c r="F1" s="195"/>
    </row>
    <row r="2" spans="1:6" s="151" customFormat="1" ht="29.25" customHeight="1" x14ac:dyDescent="0.2">
      <c r="A2" s="152"/>
      <c r="C2" s="153"/>
      <c r="D2" s="154"/>
    </row>
    <row r="3" spans="1:6" s="151" customFormat="1" thickBot="1" x14ac:dyDescent="0.25">
      <c r="A3" s="155"/>
      <c r="C3" s="153"/>
      <c r="D3" s="154"/>
    </row>
    <row r="4" spans="1:6" s="151" customFormat="1" ht="12.75" customHeight="1" thickBot="1" x14ac:dyDescent="0.25">
      <c r="A4" s="185"/>
      <c r="B4" s="185"/>
      <c r="C4" s="185"/>
      <c r="D4" s="185"/>
      <c r="E4" s="185"/>
      <c r="F4" s="185"/>
    </row>
    <row r="5" spans="1:6" s="151" customFormat="1" ht="12.75" customHeight="1" thickBot="1" x14ac:dyDescent="0.25">
      <c r="A5" s="186" t="s">
        <v>215</v>
      </c>
      <c r="B5" s="186"/>
      <c r="C5" s="186"/>
      <c r="D5" s="186"/>
      <c r="E5" s="186"/>
      <c r="F5" s="186"/>
    </row>
    <row r="6" spans="1:6" s="151" customFormat="1" ht="12.75" customHeight="1" thickBot="1" x14ac:dyDescent="0.25">
      <c r="A6" s="186" t="s">
        <v>216</v>
      </c>
      <c r="B6" s="186"/>
      <c r="C6" s="186"/>
      <c r="D6" s="186"/>
      <c r="E6" s="186"/>
      <c r="F6" s="186"/>
    </row>
    <row r="7" spans="1:6" s="151" customFormat="1" ht="12.75" customHeight="1" thickBot="1" x14ac:dyDescent="0.25">
      <c r="A7" s="187"/>
      <c r="B7" s="187"/>
      <c r="C7" s="187"/>
      <c r="D7" s="187"/>
      <c r="E7" s="187"/>
      <c r="F7" s="187"/>
    </row>
    <row r="8" spans="1:6" s="151" customFormat="1" ht="12.75" customHeight="1" thickBot="1" x14ac:dyDescent="0.25">
      <c r="A8" s="188" t="s">
        <v>206</v>
      </c>
      <c r="B8" s="188"/>
      <c r="C8" s="188"/>
      <c r="D8" s="188"/>
      <c r="E8" s="188"/>
      <c r="F8" s="156"/>
    </row>
    <row r="9" spans="1:6" s="151" customFormat="1" ht="12.75" customHeight="1" thickBot="1" x14ac:dyDescent="0.25">
      <c r="A9" s="188" t="s">
        <v>1</v>
      </c>
      <c r="B9" s="188"/>
      <c r="C9" s="188"/>
      <c r="D9" s="188"/>
      <c r="E9" s="188"/>
      <c r="F9" s="156"/>
    </row>
    <row r="10" spans="1:6" s="151" customFormat="1" ht="12.75" customHeight="1" thickBot="1" x14ac:dyDescent="0.25">
      <c r="A10" s="188" t="s">
        <v>217</v>
      </c>
      <c r="B10" s="188"/>
      <c r="C10" s="188"/>
      <c r="D10" s="188"/>
      <c r="E10" s="188"/>
      <c r="F10" s="156"/>
    </row>
    <row r="11" spans="1:6" s="151" customFormat="1" ht="12.75" customHeight="1" thickBot="1" x14ac:dyDescent="0.25">
      <c r="A11" s="188" t="s">
        <v>2</v>
      </c>
      <c r="B11" s="188"/>
      <c r="C11" s="188"/>
      <c r="D11" s="188"/>
      <c r="E11" s="188"/>
      <c r="F11" s="156"/>
    </row>
    <row r="12" spans="1:6" ht="25.5" x14ac:dyDescent="0.2">
      <c r="A12" s="108" t="s">
        <v>3</v>
      </c>
      <c r="B12" s="108" t="s">
        <v>4</v>
      </c>
      <c r="C12" s="109" t="s">
        <v>5</v>
      </c>
      <c r="D12" s="110" t="s">
        <v>6</v>
      </c>
      <c r="E12" s="108" t="s">
        <v>7</v>
      </c>
      <c r="F12" s="108" t="s">
        <v>8</v>
      </c>
    </row>
    <row r="13" spans="1:6" x14ac:dyDescent="0.2">
      <c r="A13" s="108">
        <v>1</v>
      </c>
      <c r="B13" s="108" t="s">
        <v>139</v>
      </c>
      <c r="C13" s="111">
        <f>E169</f>
        <v>9127.41</v>
      </c>
      <c r="D13" s="110">
        <v>1</v>
      </c>
      <c r="E13" s="111">
        <f>C179</f>
        <v>9127.41</v>
      </c>
      <c r="F13" s="112">
        <f>C180</f>
        <v>109528.92</v>
      </c>
    </row>
    <row r="14" spans="1:6" ht="12.75" customHeight="1" x14ac:dyDescent="0.2">
      <c r="A14" s="190" t="s">
        <v>10</v>
      </c>
      <c r="B14" s="190"/>
      <c r="C14" s="190"/>
      <c r="D14" s="190"/>
      <c r="E14" s="190"/>
      <c r="F14" s="108"/>
    </row>
    <row r="15" spans="1:6" ht="9" customHeight="1" x14ac:dyDescent="0.2">
      <c r="A15" s="107"/>
    </row>
    <row r="16" spans="1:6" x14ac:dyDescent="0.2">
      <c r="A16" s="113" t="s">
        <v>11</v>
      </c>
      <c r="B16" s="113" t="s">
        <v>12</v>
      </c>
    </row>
    <row r="17" spans="1:5" x14ac:dyDescent="0.2">
      <c r="A17" s="114"/>
      <c r="B17" s="115" t="s">
        <v>13</v>
      </c>
      <c r="E17" s="116"/>
    </row>
    <row r="18" spans="1:5" ht="9.75" customHeight="1" x14ac:dyDescent="0.2">
      <c r="A18" s="107"/>
    </row>
    <row r="19" spans="1:5" x14ac:dyDescent="0.2">
      <c r="A19" s="107" t="s">
        <v>14</v>
      </c>
    </row>
    <row r="20" spans="1:5" ht="6.75" customHeight="1" x14ac:dyDescent="0.2">
      <c r="A20" s="107"/>
    </row>
    <row r="21" spans="1:5" x14ac:dyDescent="0.2">
      <c r="A21" s="107" t="s">
        <v>15</v>
      </c>
    </row>
    <row r="22" spans="1:5" ht="8.25" customHeight="1" x14ac:dyDescent="0.2">
      <c r="A22" s="107"/>
    </row>
    <row r="23" spans="1:5" ht="12.75" customHeight="1" x14ac:dyDescent="0.2">
      <c r="A23" s="189" t="s">
        <v>0</v>
      </c>
      <c r="B23" s="189"/>
    </row>
    <row r="24" spans="1:5" x14ac:dyDescent="0.2">
      <c r="A24" s="108"/>
      <c r="B24" s="108" t="s">
        <v>218</v>
      </c>
    </row>
    <row r="25" spans="1:5" x14ac:dyDescent="0.2">
      <c r="A25" s="108"/>
      <c r="B25" s="108" t="s">
        <v>219</v>
      </c>
    </row>
    <row r="26" spans="1:5" ht="12" customHeight="1" x14ac:dyDescent="0.2">
      <c r="A26" s="190"/>
      <c r="B26" s="190"/>
    </row>
    <row r="27" spans="1:5" x14ac:dyDescent="0.2">
      <c r="A27" s="107"/>
    </row>
    <row r="28" spans="1:5" x14ac:dyDescent="0.2">
      <c r="A28" s="117" t="s">
        <v>16</v>
      </c>
      <c r="B28" s="108" t="s">
        <v>17</v>
      </c>
      <c r="C28" s="118"/>
    </row>
    <row r="29" spans="1:5" x14ac:dyDescent="0.2">
      <c r="A29" s="117" t="s">
        <v>18</v>
      </c>
      <c r="B29" s="108" t="s">
        <v>19</v>
      </c>
      <c r="C29" s="109" t="s">
        <v>173</v>
      </c>
    </row>
    <row r="30" spans="1:5" ht="25.5" x14ac:dyDescent="0.2">
      <c r="A30" s="117" t="s">
        <v>20</v>
      </c>
      <c r="B30" s="108" t="s">
        <v>21</v>
      </c>
      <c r="C30" s="168">
        <v>44228</v>
      </c>
    </row>
    <row r="31" spans="1:5" x14ac:dyDescent="0.2">
      <c r="A31" s="117" t="s">
        <v>22</v>
      </c>
      <c r="B31" s="108" t="s">
        <v>23</v>
      </c>
      <c r="C31" s="119" t="s">
        <v>24</v>
      </c>
    </row>
    <row r="32" spans="1:5" ht="8.25" customHeight="1" x14ac:dyDescent="0.2">
      <c r="A32" s="107"/>
    </row>
    <row r="33" spans="1:10" x14ac:dyDescent="0.2">
      <c r="A33" s="107" t="s">
        <v>25</v>
      </c>
    </row>
    <row r="34" spans="1:10" ht="12" customHeight="1" x14ac:dyDescent="0.2">
      <c r="A34" s="190" t="s">
        <v>26</v>
      </c>
      <c r="B34" s="190"/>
      <c r="C34" s="190"/>
    </row>
    <row r="35" spans="1:10" x14ac:dyDescent="0.2">
      <c r="A35" s="108">
        <v>1</v>
      </c>
      <c r="B35" s="108" t="s">
        <v>27</v>
      </c>
      <c r="C35" s="109" t="s">
        <v>28</v>
      </c>
    </row>
    <row r="36" spans="1:10" x14ac:dyDescent="0.2">
      <c r="A36" s="108">
        <v>2</v>
      </c>
      <c r="B36" s="108" t="s">
        <v>29</v>
      </c>
      <c r="C36" s="120">
        <v>1249.1600000000001</v>
      </c>
      <c r="D36" s="103"/>
    </row>
    <row r="37" spans="1:10" x14ac:dyDescent="0.2">
      <c r="A37" s="108">
        <v>3</v>
      </c>
      <c r="B37" s="108" t="s">
        <v>30</v>
      </c>
      <c r="C37" s="159" t="s">
        <v>28</v>
      </c>
    </row>
    <row r="38" spans="1:10" x14ac:dyDescent="0.2">
      <c r="A38" s="108">
        <v>4</v>
      </c>
      <c r="B38" s="108" t="s">
        <v>31</v>
      </c>
      <c r="C38" s="159" t="s">
        <v>220</v>
      </c>
    </row>
    <row r="39" spans="1:10" x14ac:dyDescent="0.2">
      <c r="A39" s="107" t="s">
        <v>32</v>
      </c>
    </row>
    <row r="40" spans="1:10" ht="9" customHeight="1" x14ac:dyDescent="0.2">
      <c r="A40" s="107"/>
    </row>
    <row r="41" spans="1:10" ht="12" customHeight="1" x14ac:dyDescent="0.2">
      <c r="A41" s="121">
        <v>1</v>
      </c>
      <c r="B41" s="192" t="s">
        <v>33</v>
      </c>
      <c r="C41" s="192"/>
      <c r="D41" s="122" t="s">
        <v>34</v>
      </c>
    </row>
    <row r="42" spans="1:10" x14ac:dyDescent="0.2">
      <c r="A42" s="108" t="s">
        <v>16</v>
      </c>
      <c r="B42" s="108" t="s">
        <v>35</v>
      </c>
      <c r="C42" s="109"/>
      <c r="D42" s="120">
        <f>C36</f>
        <v>1249.1600000000001</v>
      </c>
      <c r="E42" s="197"/>
      <c r="F42" s="197"/>
      <c r="G42" s="197"/>
    </row>
    <row r="43" spans="1:10" x14ac:dyDescent="0.2">
      <c r="A43" s="108" t="s">
        <v>18</v>
      </c>
      <c r="B43" s="108" t="s">
        <v>36</v>
      </c>
      <c r="C43" s="109">
        <v>0.3</v>
      </c>
      <c r="D43" s="110">
        <f>C43*D42</f>
        <v>374.74799999999999</v>
      </c>
    </row>
    <row r="44" spans="1:10" x14ac:dyDescent="0.2">
      <c r="A44" s="108" t="s">
        <v>20</v>
      </c>
      <c r="B44" s="108" t="s">
        <v>37</v>
      </c>
      <c r="C44" s="109">
        <v>0</v>
      </c>
      <c r="D44" s="110">
        <v>0</v>
      </c>
    </row>
    <row r="45" spans="1:10" x14ac:dyDescent="0.2">
      <c r="A45" s="108" t="s">
        <v>22</v>
      </c>
      <c r="B45" s="108" t="s">
        <v>38</v>
      </c>
      <c r="C45" s="109">
        <v>0</v>
      </c>
      <c r="D45" s="124">
        <f>D42*C45</f>
        <v>0</v>
      </c>
    </row>
    <row r="46" spans="1:10" x14ac:dyDescent="0.2">
      <c r="A46" s="108" t="s">
        <v>11</v>
      </c>
      <c r="B46" s="108" t="s">
        <v>39</v>
      </c>
      <c r="C46" s="109">
        <v>0</v>
      </c>
      <c r="D46" s="110">
        <v>0</v>
      </c>
    </row>
    <row r="47" spans="1:10" x14ac:dyDescent="0.2">
      <c r="A47" s="108" t="s">
        <v>40</v>
      </c>
      <c r="B47" s="108" t="s">
        <v>41</v>
      </c>
      <c r="C47" s="109">
        <v>0</v>
      </c>
      <c r="D47" s="123">
        <f>D42*C47</f>
        <v>0</v>
      </c>
    </row>
    <row r="48" spans="1:10" x14ac:dyDescent="0.2">
      <c r="A48" s="108" t="s">
        <v>42</v>
      </c>
      <c r="B48" s="108" t="s">
        <v>188</v>
      </c>
      <c r="C48" s="109"/>
      <c r="D48" s="125">
        <f>SUM(D42:D43)/220*1.5*15</f>
        <v>166.08150000000001</v>
      </c>
      <c r="H48" s="146"/>
      <c r="I48" s="146"/>
      <c r="J48" s="146"/>
    </row>
    <row r="49" spans="1:8" ht="12" customHeight="1" x14ac:dyDescent="0.2">
      <c r="A49" s="190" t="s">
        <v>45</v>
      </c>
      <c r="B49" s="190"/>
      <c r="C49" s="190"/>
      <c r="D49" s="126">
        <f>D42+D43+D44+D45+D46+D47+D48</f>
        <v>1789.9895000000001</v>
      </c>
    </row>
    <row r="50" spans="1:8" ht="8.25" customHeight="1" x14ac:dyDescent="0.2">
      <c r="A50" s="104"/>
    </row>
    <row r="51" spans="1:8" x14ac:dyDescent="0.2">
      <c r="A51" s="107" t="s">
        <v>46</v>
      </c>
    </row>
    <row r="52" spans="1:8" ht="8.25" customHeight="1" x14ac:dyDescent="0.2">
      <c r="A52" s="104"/>
    </row>
    <row r="53" spans="1:8" ht="12.75" customHeight="1" x14ac:dyDescent="0.2">
      <c r="A53" s="117">
        <v>2</v>
      </c>
      <c r="B53" s="192" t="s">
        <v>47</v>
      </c>
      <c r="C53" s="192"/>
      <c r="D53" s="122" t="s">
        <v>34</v>
      </c>
    </row>
    <row r="54" spans="1:8" x14ac:dyDescent="0.2">
      <c r="A54" s="108" t="s">
        <v>16</v>
      </c>
      <c r="B54" s="127" t="s">
        <v>221</v>
      </c>
      <c r="C54" s="109"/>
      <c r="D54" s="110">
        <f>(3.7*15*2)</f>
        <v>111</v>
      </c>
      <c r="E54" s="128"/>
      <c r="F54" s="129"/>
      <c r="H54" s="130"/>
    </row>
    <row r="55" spans="1:8" x14ac:dyDescent="0.2">
      <c r="A55" s="108" t="s">
        <v>20</v>
      </c>
      <c r="B55" s="127" t="s">
        <v>222</v>
      </c>
      <c r="C55" s="109"/>
      <c r="D55" s="110">
        <f>20*15</f>
        <v>300</v>
      </c>
    </row>
    <row r="56" spans="1:8" x14ac:dyDescent="0.2">
      <c r="A56" s="108" t="s">
        <v>22</v>
      </c>
      <c r="B56" s="108" t="s">
        <v>223</v>
      </c>
      <c r="C56" s="109"/>
      <c r="D56" s="110">
        <f>'Exames e Plano de Saúde'!D10</f>
        <v>115.80792579999999</v>
      </c>
      <c r="F56" s="131"/>
    </row>
    <row r="57" spans="1:8" x14ac:dyDescent="0.2">
      <c r="A57" s="108" t="s">
        <v>11</v>
      </c>
      <c r="B57" s="108" t="s">
        <v>48</v>
      </c>
      <c r="C57" s="109"/>
      <c r="D57" s="110">
        <v>0</v>
      </c>
    </row>
    <row r="58" spans="1:8" x14ac:dyDescent="0.2">
      <c r="A58" s="108" t="s">
        <v>40</v>
      </c>
      <c r="B58" s="108" t="s">
        <v>225</v>
      </c>
      <c r="C58" s="109"/>
      <c r="D58" s="110">
        <f>'Exames e Plano de Saúde'!D12</f>
        <v>3.01003899</v>
      </c>
      <c r="F58" s="131"/>
    </row>
    <row r="59" spans="1:8" x14ac:dyDescent="0.2">
      <c r="A59" s="108" t="s">
        <v>42</v>
      </c>
      <c r="B59" s="108" t="s">
        <v>227</v>
      </c>
      <c r="C59" s="109"/>
      <c r="D59" s="110">
        <v>0</v>
      </c>
    </row>
    <row r="60" spans="1:8" x14ac:dyDescent="0.2">
      <c r="A60" s="108" t="s">
        <v>43</v>
      </c>
      <c r="B60" s="108" t="s">
        <v>226</v>
      </c>
      <c r="C60" s="109">
        <v>0</v>
      </c>
      <c r="D60" s="110">
        <v>0</v>
      </c>
    </row>
    <row r="61" spans="1:8" x14ac:dyDescent="0.2">
      <c r="A61" s="108" t="s">
        <v>49</v>
      </c>
      <c r="B61" s="108" t="s">
        <v>189</v>
      </c>
      <c r="C61" s="109"/>
      <c r="D61" s="110">
        <f>'Exames e Plano de Saúde'!F7</f>
        <v>28.962055208333332</v>
      </c>
    </row>
    <row r="62" spans="1:8" ht="12.75" customHeight="1" x14ac:dyDescent="0.2">
      <c r="A62" s="192" t="s">
        <v>50</v>
      </c>
      <c r="B62" s="192"/>
      <c r="C62" s="192"/>
      <c r="D62" s="132">
        <f>SUM(D54:D61)</f>
        <v>558.78001999833339</v>
      </c>
    </row>
    <row r="63" spans="1:8" x14ac:dyDescent="0.2">
      <c r="A63" s="104"/>
    </row>
    <row r="64" spans="1:8" x14ac:dyDescent="0.2">
      <c r="A64" s="107" t="s">
        <v>51</v>
      </c>
    </row>
    <row r="65" spans="1:7" x14ac:dyDescent="0.2">
      <c r="A65" s="104"/>
    </row>
    <row r="66" spans="1:7" ht="12" customHeight="1" x14ac:dyDescent="0.2">
      <c r="A66" s="117">
        <v>3</v>
      </c>
      <c r="B66" s="192" t="s">
        <v>52</v>
      </c>
      <c r="C66" s="192"/>
      <c r="D66" s="122" t="s">
        <v>34</v>
      </c>
    </row>
    <row r="67" spans="1:7" ht="29.25" customHeight="1" x14ac:dyDescent="0.2">
      <c r="A67" s="108" t="s">
        <v>16</v>
      </c>
      <c r="B67" s="108" t="s">
        <v>175</v>
      </c>
      <c r="C67" s="109"/>
      <c r="D67" s="133">
        <f>Uniforme!G19</f>
        <v>70.59</v>
      </c>
      <c r="E67" s="196"/>
      <c r="F67" s="196"/>
      <c r="G67" s="196"/>
    </row>
    <row r="68" spans="1:7" ht="24.75" customHeight="1" x14ac:dyDescent="0.2">
      <c r="A68" s="108" t="s">
        <v>18</v>
      </c>
      <c r="B68" s="108" t="s">
        <v>176</v>
      </c>
      <c r="C68" s="109"/>
      <c r="D68" s="133">
        <f>Material!F21</f>
        <v>6.47</v>
      </c>
      <c r="E68" s="196"/>
      <c r="F68" s="196"/>
      <c r="G68" s="196"/>
    </row>
    <row r="69" spans="1:7" ht="23.25" customHeight="1" x14ac:dyDescent="0.2">
      <c r="A69" s="108" t="s">
        <v>20</v>
      </c>
      <c r="B69" s="108" t="s">
        <v>177</v>
      </c>
      <c r="C69" s="109"/>
      <c r="D69" s="133">
        <f>Equipamento!F8</f>
        <v>50.31</v>
      </c>
      <c r="E69" s="196"/>
      <c r="F69" s="196"/>
      <c r="G69" s="196"/>
    </row>
    <row r="70" spans="1:7" x14ac:dyDescent="0.2">
      <c r="A70" s="108" t="s">
        <v>22</v>
      </c>
      <c r="B70" s="108" t="s">
        <v>178</v>
      </c>
      <c r="C70" s="109"/>
      <c r="D70" s="133"/>
    </row>
    <row r="71" spans="1:7" ht="12" customHeight="1" x14ac:dyDescent="0.2">
      <c r="A71" s="192" t="s">
        <v>53</v>
      </c>
      <c r="B71" s="192"/>
      <c r="C71" s="192"/>
      <c r="D71" s="132">
        <f>SUM(D67:D70)</f>
        <v>127.37</v>
      </c>
    </row>
    <row r="72" spans="1:7" x14ac:dyDescent="0.2">
      <c r="A72" s="107"/>
    </row>
    <row r="73" spans="1:7" x14ac:dyDescent="0.2">
      <c r="A73" s="107" t="s">
        <v>54</v>
      </c>
    </row>
    <row r="74" spans="1:7" x14ac:dyDescent="0.2">
      <c r="A74" s="107"/>
    </row>
    <row r="75" spans="1:7" x14ac:dyDescent="0.2">
      <c r="A75" s="104" t="s">
        <v>55</v>
      </c>
    </row>
    <row r="76" spans="1:7" x14ac:dyDescent="0.2">
      <c r="A76" s="117" t="s">
        <v>56</v>
      </c>
      <c r="B76" s="117" t="s">
        <v>57</v>
      </c>
      <c r="C76" s="119" t="s">
        <v>58</v>
      </c>
      <c r="D76" s="122" t="s">
        <v>34</v>
      </c>
    </row>
    <row r="77" spans="1:7" x14ac:dyDescent="0.2">
      <c r="A77" s="108" t="s">
        <v>16</v>
      </c>
      <c r="B77" s="108" t="s">
        <v>59</v>
      </c>
      <c r="C77" s="109">
        <v>0.2</v>
      </c>
      <c r="D77" s="110">
        <f>D49*0.2</f>
        <v>357.99790000000007</v>
      </c>
    </row>
    <row r="78" spans="1:7" x14ac:dyDescent="0.2">
      <c r="A78" s="108" t="s">
        <v>18</v>
      </c>
      <c r="B78" s="108" t="s">
        <v>60</v>
      </c>
      <c r="C78" s="109">
        <v>1.4999999999999999E-2</v>
      </c>
      <c r="D78" s="110">
        <f>D49*0.015</f>
        <v>26.849842500000001</v>
      </c>
    </row>
    <row r="79" spans="1:7" x14ac:dyDescent="0.2">
      <c r="A79" s="108" t="s">
        <v>20</v>
      </c>
      <c r="B79" s="108" t="s">
        <v>61</v>
      </c>
      <c r="C79" s="109">
        <v>0.01</v>
      </c>
      <c r="D79" s="110">
        <f>D49*0.01</f>
        <v>17.899895000000001</v>
      </c>
    </row>
    <row r="80" spans="1:7" x14ac:dyDescent="0.2">
      <c r="A80" s="108" t="s">
        <v>22</v>
      </c>
      <c r="B80" s="108" t="s">
        <v>62</v>
      </c>
      <c r="C80" s="109">
        <v>2E-3</v>
      </c>
      <c r="D80" s="110">
        <f>D49*0.002</f>
        <v>3.5799790000000002</v>
      </c>
    </row>
    <row r="81" spans="1:4" x14ac:dyDescent="0.2">
      <c r="A81" s="108" t="s">
        <v>11</v>
      </c>
      <c r="B81" s="108" t="s">
        <v>63</v>
      </c>
      <c r="C81" s="109">
        <v>2.5000000000000001E-2</v>
      </c>
      <c r="D81" s="110">
        <f>D49*0.025</f>
        <v>44.749737500000009</v>
      </c>
    </row>
    <row r="82" spans="1:4" x14ac:dyDescent="0.2">
      <c r="A82" s="108" t="s">
        <v>40</v>
      </c>
      <c r="B82" s="108" t="s">
        <v>64</v>
      </c>
      <c r="C82" s="109">
        <v>0.08</v>
      </c>
      <c r="D82" s="110">
        <f>D49*0.08</f>
        <v>143.19916000000001</v>
      </c>
    </row>
    <row r="83" spans="1:4" x14ac:dyDescent="0.2">
      <c r="A83" s="108" t="s">
        <v>42</v>
      </c>
      <c r="B83" s="108" t="s">
        <v>229</v>
      </c>
      <c r="C83" s="109">
        <v>0.03</v>
      </c>
      <c r="D83" s="110">
        <f>D49*0.03</f>
        <v>53.699685000000002</v>
      </c>
    </row>
    <row r="84" spans="1:4" x14ac:dyDescent="0.2">
      <c r="A84" s="108" t="s">
        <v>43</v>
      </c>
      <c r="B84" s="108" t="s">
        <v>66</v>
      </c>
      <c r="C84" s="109">
        <v>6.0000000000000001E-3</v>
      </c>
      <c r="D84" s="110">
        <f>D49*0.006</f>
        <v>10.739937000000001</v>
      </c>
    </row>
    <row r="85" spans="1:4" ht="12" customHeight="1" x14ac:dyDescent="0.2">
      <c r="A85" s="189" t="s">
        <v>67</v>
      </c>
      <c r="B85" s="189"/>
      <c r="C85" s="134">
        <f>SUM(C77:C84)</f>
        <v>0.3680000000000001</v>
      </c>
      <c r="D85" s="135">
        <f>SUM(D77:D84)</f>
        <v>658.71613600000023</v>
      </c>
    </row>
    <row r="86" spans="1:4" x14ac:dyDescent="0.2">
      <c r="A86" s="104"/>
    </row>
    <row r="87" spans="1:4" x14ac:dyDescent="0.2">
      <c r="A87" s="104" t="s">
        <v>68</v>
      </c>
    </row>
    <row r="88" spans="1:4" x14ac:dyDescent="0.2">
      <c r="A88" s="104"/>
    </row>
    <row r="89" spans="1:4" ht="12" customHeight="1" x14ac:dyDescent="0.2">
      <c r="A89" s="117" t="s">
        <v>69</v>
      </c>
      <c r="B89" s="192" t="s">
        <v>70</v>
      </c>
      <c r="C89" s="192"/>
      <c r="D89" s="122" t="s">
        <v>34</v>
      </c>
    </row>
    <row r="90" spans="1:4" x14ac:dyDescent="0.2">
      <c r="A90" s="108" t="s">
        <v>16</v>
      </c>
      <c r="B90" s="108" t="s">
        <v>141</v>
      </c>
      <c r="C90" s="109">
        <f>5/56</f>
        <v>8.9285714285714288E-2</v>
      </c>
      <c r="D90" s="110">
        <f>C90*D49</f>
        <v>159.82049107142859</v>
      </c>
    </row>
    <row r="91" spans="1:4" x14ac:dyDescent="0.2">
      <c r="A91" s="108" t="s">
        <v>18</v>
      </c>
      <c r="B91" s="108" t="s">
        <v>228</v>
      </c>
      <c r="C91" s="109">
        <f>(1/3)*C90</f>
        <v>2.976190476190476E-2</v>
      </c>
      <c r="D91" s="110">
        <f>D49*C91</f>
        <v>53.273497023809526</v>
      </c>
    </row>
    <row r="92" spans="1:4" x14ac:dyDescent="0.2">
      <c r="A92" s="108"/>
      <c r="B92" s="108" t="s">
        <v>71</v>
      </c>
      <c r="C92" s="109"/>
      <c r="D92" s="110">
        <f>SUM(D90:D91)</f>
        <v>213.0939880952381</v>
      </c>
    </row>
    <row r="93" spans="1:4" x14ac:dyDescent="0.2">
      <c r="A93" s="108" t="s">
        <v>20</v>
      </c>
      <c r="B93" s="108" t="s">
        <v>72</v>
      </c>
      <c r="C93" s="109">
        <f>C85</f>
        <v>0.3680000000000001</v>
      </c>
      <c r="D93" s="110">
        <f>C93*D92</f>
        <v>78.418587619047642</v>
      </c>
    </row>
    <row r="94" spans="1:4" ht="12" customHeight="1" x14ac:dyDescent="0.2">
      <c r="A94" s="189" t="s">
        <v>67</v>
      </c>
      <c r="B94" s="189"/>
      <c r="C94" s="134">
        <f>SUM(C90:C93)</f>
        <v>0.48704761904761917</v>
      </c>
      <c r="D94" s="135">
        <f>SUM(D92:D93)</f>
        <v>291.51257571428573</v>
      </c>
    </row>
    <row r="95" spans="1:4" x14ac:dyDescent="0.2">
      <c r="A95" s="104"/>
    </row>
    <row r="96" spans="1:4" x14ac:dyDescent="0.2">
      <c r="A96" s="104"/>
    </row>
    <row r="97" spans="1:4" x14ac:dyDescent="0.2">
      <c r="A97" s="104"/>
    </row>
    <row r="98" spans="1:4" x14ac:dyDescent="0.2">
      <c r="A98" s="104" t="s">
        <v>73</v>
      </c>
    </row>
    <row r="99" spans="1:4" x14ac:dyDescent="0.2">
      <c r="A99" s="104"/>
    </row>
    <row r="100" spans="1:4" ht="12" customHeight="1" x14ac:dyDescent="0.2">
      <c r="A100" s="117" t="s">
        <v>74</v>
      </c>
      <c r="B100" s="192" t="s">
        <v>75</v>
      </c>
      <c r="C100" s="192"/>
      <c r="D100" s="122" t="s">
        <v>34</v>
      </c>
    </row>
    <row r="101" spans="1:4" x14ac:dyDescent="0.2">
      <c r="A101" s="108" t="s">
        <v>16</v>
      </c>
      <c r="B101" s="108" t="s">
        <v>75</v>
      </c>
      <c r="C101" s="75">
        <v>1.37E-2</v>
      </c>
      <c r="D101" s="110">
        <f>D49*C101</f>
        <v>24.522856150000003</v>
      </c>
    </row>
    <row r="102" spans="1:4" x14ac:dyDescent="0.2">
      <c r="A102" s="108" t="s">
        <v>18</v>
      </c>
      <c r="B102" s="108" t="s">
        <v>76</v>
      </c>
      <c r="C102" s="109">
        <f>C85*C101</f>
        <v>5.041600000000002E-3</v>
      </c>
      <c r="D102" s="110">
        <f>D101*C102</f>
        <v>0.12363443156584006</v>
      </c>
    </row>
    <row r="103" spans="1:4" ht="12" customHeight="1" x14ac:dyDescent="0.2">
      <c r="A103" s="193" t="s">
        <v>67</v>
      </c>
      <c r="B103" s="193"/>
      <c r="C103" s="134">
        <f>SUM(C101:C102)</f>
        <v>1.8741600000000004E-2</v>
      </c>
      <c r="D103" s="135">
        <f>SUM(D101:D102)</f>
        <v>24.646490581565843</v>
      </c>
    </row>
    <row r="104" spans="1:4" x14ac:dyDescent="0.2">
      <c r="A104" s="104"/>
      <c r="B104" s="136"/>
    </row>
    <row r="105" spans="1:4" x14ac:dyDescent="0.2">
      <c r="A105" s="104" t="s">
        <v>77</v>
      </c>
    </row>
    <row r="106" spans="1:4" x14ac:dyDescent="0.2">
      <c r="A106" s="104"/>
    </row>
    <row r="107" spans="1:4" ht="12" customHeight="1" x14ac:dyDescent="0.2">
      <c r="A107" s="117" t="s">
        <v>78</v>
      </c>
      <c r="B107" s="192" t="s">
        <v>79</v>
      </c>
      <c r="C107" s="192"/>
      <c r="D107" s="122" t="s">
        <v>34</v>
      </c>
    </row>
    <row r="108" spans="1:4" x14ac:dyDescent="0.2">
      <c r="A108" s="108" t="s">
        <v>16</v>
      </c>
      <c r="B108" s="108" t="s">
        <v>142</v>
      </c>
      <c r="C108" s="109">
        <f xml:space="preserve"> ((1/12)* 0.05)</f>
        <v>4.1666666666666666E-3</v>
      </c>
      <c r="D108" s="110">
        <f>D49*C108</f>
        <v>7.4582895833333334</v>
      </c>
    </row>
    <row r="109" spans="1:4" ht="25.5" x14ac:dyDescent="0.2">
      <c r="A109" s="108" t="s">
        <v>18</v>
      </c>
      <c r="B109" s="108" t="s">
        <v>80</v>
      </c>
      <c r="C109" s="109">
        <f>C82*C108</f>
        <v>3.3333333333333332E-4</v>
      </c>
      <c r="D109" s="110">
        <f>D49*C109</f>
        <v>0.59666316666666674</v>
      </c>
    </row>
    <row r="110" spans="1:4" x14ac:dyDescent="0.2">
      <c r="A110" s="108" t="s">
        <v>20</v>
      </c>
      <c r="B110" s="108" t="s">
        <v>81</v>
      </c>
      <c r="C110" s="109">
        <f>0.08*0.5*0.9*(1 + 5/56+5/56+1/3*5/56)</f>
        <v>4.3499999999999997E-2</v>
      </c>
      <c r="D110" s="110">
        <f>C110*D49</f>
        <v>77.864543249999997</v>
      </c>
    </row>
    <row r="111" spans="1:4" x14ac:dyDescent="0.2">
      <c r="A111" s="108" t="s">
        <v>22</v>
      </c>
      <c r="B111" s="137" t="s">
        <v>82</v>
      </c>
      <c r="C111" s="109">
        <f xml:space="preserve"> ((7/30)/12)*0.02</f>
        <v>3.8888888888888892E-4</v>
      </c>
      <c r="D111" s="110">
        <f>D49*C111</f>
        <v>0.69610702777777789</v>
      </c>
    </row>
    <row r="112" spans="1:4" x14ac:dyDescent="0.2">
      <c r="A112" s="108" t="s">
        <v>11</v>
      </c>
      <c r="B112" s="108" t="s">
        <v>83</v>
      </c>
      <c r="C112" s="109">
        <f>C85</f>
        <v>0.3680000000000001</v>
      </c>
      <c r="D112" s="110">
        <f>D111*C85</f>
        <v>0.25616738622222235</v>
      </c>
    </row>
    <row r="113" spans="1:6" x14ac:dyDescent="0.2">
      <c r="A113" s="108" t="s">
        <v>40</v>
      </c>
      <c r="B113" s="108" t="s">
        <v>84</v>
      </c>
      <c r="C113" s="109">
        <f>(40%)*C82</f>
        <v>3.2000000000000001E-2</v>
      </c>
      <c r="D113" s="110">
        <f>C113*D111</f>
        <v>2.2275424888888892E-2</v>
      </c>
    </row>
    <row r="114" spans="1:6" ht="12" customHeight="1" x14ac:dyDescent="0.2">
      <c r="A114" s="193" t="s">
        <v>67</v>
      </c>
      <c r="B114" s="193"/>
      <c r="C114" s="134">
        <f>SUM(C108:C113)</f>
        <v>0.44838888888888895</v>
      </c>
      <c r="D114" s="138">
        <f>SUM(D108:D113)</f>
        <v>86.894045838888886</v>
      </c>
    </row>
    <row r="115" spans="1:6" x14ac:dyDescent="0.2">
      <c r="A115" s="104"/>
    </row>
    <row r="116" spans="1:6" x14ac:dyDescent="0.2">
      <c r="A116" s="104" t="s">
        <v>85</v>
      </c>
    </row>
    <row r="117" spans="1:6" x14ac:dyDescent="0.2">
      <c r="A117" s="104"/>
    </row>
    <row r="118" spans="1:6" ht="12" customHeight="1" x14ac:dyDescent="0.2">
      <c r="A118" s="117" t="s">
        <v>86</v>
      </c>
      <c r="B118" s="192" t="s">
        <v>87</v>
      </c>
      <c r="C118" s="192"/>
      <c r="D118" s="122" t="s">
        <v>34</v>
      </c>
    </row>
    <row r="119" spans="1:6" x14ac:dyDescent="0.2">
      <c r="A119" s="108" t="s">
        <v>16</v>
      </c>
      <c r="B119" s="108" t="s">
        <v>143</v>
      </c>
      <c r="C119" s="109">
        <f>(5/56)</f>
        <v>8.9285714285714288E-2</v>
      </c>
      <c r="D119" s="110">
        <f>D49*C119</f>
        <v>159.82049107142859</v>
      </c>
    </row>
    <row r="120" spans="1:6" x14ac:dyDescent="0.2">
      <c r="A120" s="108" t="s">
        <v>18</v>
      </c>
      <c r="B120" s="108" t="s">
        <v>144</v>
      </c>
      <c r="C120" s="109">
        <f>(5.96/30)/12</f>
        <v>1.6555555555555556E-2</v>
      </c>
      <c r="D120" s="110">
        <f>D49*C120</f>
        <v>29.634270611111113</v>
      </c>
    </row>
    <row r="121" spans="1:6" s="139" customFormat="1" x14ac:dyDescent="0.2">
      <c r="A121" s="108" t="s">
        <v>20</v>
      </c>
      <c r="B121" s="108" t="s">
        <v>200</v>
      </c>
      <c r="C121" s="109">
        <f>((5/30)/12)*0.015</f>
        <v>2.0833333333333332E-4</v>
      </c>
      <c r="D121" s="110">
        <f>D49*C121</f>
        <v>0.37291447916666665</v>
      </c>
      <c r="F121" s="103"/>
    </row>
    <row r="122" spans="1:6" x14ac:dyDescent="0.2">
      <c r="A122" s="108" t="s">
        <v>22</v>
      </c>
      <c r="B122" s="108" t="s">
        <v>88</v>
      </c>
      <c r="C122" s="109">
        <f>(2.96/30)*(1/12)</f>
        <v>8.222222222222221E-3</v>
      </c>
      <c r="D122" s="110">
        <f>D49*C122</f>
        <v>14.717691444444444</v>
      </c>
    </row>
    <row r="123" spans="1:6" x14ac:dyDescent="0.2">
      <c r="A123" s="108" t="s">
        <v>11</v>
      </c>
      <c r="B123" s="108" t="s">
        <v>146</v>
      </c>
      <c r="C123" s="109">
        <f xml:space="preserve"> ((15/30)/12)*0.0078</f>
        <v>3.2499999999999999E-4</v>
      </c>
      <c r="D123" s="110">
        <f>D49*C123</f>
        <v>0.58174658749999997</v>
      </c>
    </row>
    <row r="124" spans="1:6" x14ac:dyDescent="0.2">
      <c r="A124" s="108" t="s">
        <v>40</v>
      </c>
      <c r="B124" s="108" t="s">
        <v>44</v>
      </c>
      <c r="C124" s="109">
        <v>0</v>
      </c>
      <c r="D124" s="110">
        <v>0</v>
      </c>
    </row>
    <row r="125" spans="1:6" ht="12" customHeight="1" x14ac:dyDescent="0.2">
      <c r="A125" s="193" t="s">
        <v>71</v>
      </c>
      <c r="B125" s="193"/>
      <c r="C125" s="109">
        <f>SUM(C119:C124)</f>
        <v>0.11459682539682541</v>
      </c>
      <c r="D125" s="110">
        <f>SUM(D119:D124)</f>
        <v>205.12711419365081</v>
      </c>
    </row>
    <row r="126" spans="1:6" x14ac:dyDescent="0.2">
      <c r="A126" s="108" t="s">
        <v>42</v>
      </c>
      <c r="B126" s="108" t="s">
        <v>89</v>
      </c>
      <c r="C126" s="109">
        <f>C85</f>
        <v>0.3680000000000001</v>
      </c>
      <c r="D126" s="110">
        <f>D125*C126</f>
        <v>75.486778023263525</v>
      </c>
    </row>
    <row r="127" spans="1:6" ht="12" customHeight="1" x14ac:dyDescent="0.2">
      <c r="A127" s="193" t="s">
        <v>67</v>
      </c>
      <c r="B127" s="193"/>
      <c r="C127" s="134">
        <f>SUM(C125:C126)</f>
        <v>0.48259682539682552</v>
      </c>
      <c r="D127" s="135">
        <f>SUM(D125:D126)</f>
        <v>280.61389221691434</v>
      </c>
    </row>
    <row r="128" spans="1:6" x14ac:dyDescent="0.2">
      <c r="A128" s="104"/>
    </row>
    <row r="129" spans="1:4" x14ac:dyDescent="0.2">
      <c r="A129" s="107" t="s">
        <v>90</v>
      </c>
    </row>
    <row r="130" spans="1:4" x14ac:dyDescent="0.2">
      <c r="A130" s="104"/>
    </row>
    <row r="131" spans="1:4" ht="12" customHeight="1" x14ac:dyDescent="0.2">
      <c r="A131" s="121">
        <v>4</v>
      </c>
      <c r="B131" s="192" t="s">
        <v>91</v>
      </c>
      <c r="C131" s="192"/>
      <c r="D131" s="122" t="s">
        <v>34</v>
      </c>
    </row>
    <row r="132" spans="1:4" x14ac:dyDescent="0.2">
      <c r="A132" s="108" t="s">
        <v>56</v>
      </c>
      <c r="B132" s="108" t="s">
        <v>92</v>
      </c>
      <c r="C132" s="109"/>
      <c r="D132" s="110">
        <f>D94</f>
        <v>291.51257571428573</v>
      </c>
    </row>
    <row r="133" spans="1:4" x14ac:dyDescent="0.2">
      <c r="A133" s="108" t="s">
        <v>69</v>
      </c>
      <c r="B133" s="108" t="s">
        <v>93</v>
      </c>
      <c r="C133" s="109"/>
      <c r="D133" s="110">
        <f>D85</f>
        <v>658.71613600000023</v>
      </c>
    </row>
    <row r="134" spans="1:4" x14ac:dyDescent="0.2">
      <c r="A134" s="108" t="s">
        <v>74</v>
      </c>
      <c r="B134" s="108" t="s">
        <v>75</v>
      </c>
      <c r="C134" s="109"/>
      <c r="D134" s="110">
        <f>D103</f>
        <v>24.646490581565843</v>
      </c>
    </row>
    <row r="135" spans="1:4" x14ac:dyDescent="0.2">
      <c r="A135" s="108" t="s">
        <v>78</v>
      </c>
      <c r="B135" s="108" t="s">
        <v>94</v>
      </c>
      <c r="C135" s="109"/>
      <c r="D135" s="110">
        <f>D114</f>
        <v>86.894045838888886</v>
      </c>
    </row>
    <row r="136" spans="1:4" x14ac:dyDescent="0.2">
      <c r="A136" s="108" t="s">
        <v>86</v>
      </c>
      <c r="B136" s="108" t="s">
        <v>95</v>
      </c>
      <c r="C136" s="109"/>
      <c r="D136" s="110">
        <f>D127</f>
        <v>280.61389221691434</v>
      </c>
    </row>
    <row r="137" spans="1:4" x14ac:dyDescent="0.2">
      <c r="A137" s="108" t="s">
        <v>96</v>
      </c>
      <c r="B137" s="108" t="s">
        <v>44</v>
      </c>
      <c r="C137" s="109"/>
      <c r="D137" s="110">
        <v>0</v>
      </c>
    </row>
    <row r="138" spans="1:4" ht="12" customHeight="1" x14ac:dyDescent="0.2">
      <c r="A138" s="190" t="s">
        <v>67</v>
      </c>
      <c r="B138" s="190"/>
      <c r="C138" s="190"/>
      <c r="D138" s="132">
        <f>SUM(D132:D137)</f>
        <v>1342.3831403516549</v>
      </c>
    </row>
    <row r="139" spans="1:4" x14ac:dyDescent="0.2">
      <c r="A139" s="104"/>
    </row>
    <row r="140" spans="1:4" x14ac:dyDescent="0.2">
      <c r="A140" s="107" t="s">
        <v>97</v>
      </c>
    </row>
    <row r="141" spans="1:4" x14ac:dyDescent="0.2">
      <c r="A141" s="104"/>
    </row>
    <row r="142" spans="1:4" x14ac:dyDescent="0.2">
      <c r="A142" s="121">
        <v>5</v>
      </c>
      <c r="B142" s="117" t="s">
        <v>98</v>
      </c>
      <c r="C142" s="119" t="s">
        <v>58</v>
      </c>
      <c r="D142" s="122" t="s">
        <v>34</v>
      </c>
    </row>
    <row r="143" spans="1:4" x14ac:dyDescent="0.2">
      <c r="A143" s="108" t="s">
        <v>16</v>
      </c>
      <c r="B143" s="108" t="s">
        <v>99</v>
      </c>
      <c r="C143" s="109">
        <v>0.05</v>
      </c>
      <c r="D143" s="110">
        <f>D161*C143</f>
        <v>190.92613301749944</v>
      </c>
    </row>
    <row r="144" spans="1:4" ht="12" customHeight="1" x14ac:dyDescent="0.2">
      <c r="A144" s="108" t="s">
        <v>18</v>
      </c>
      <c r="B144" s="194" t="s">
        <v>100</v>
      </c>
      <c r="C144" s="194"/>
      <c r="D144" s="194"/>
    </row>
    <row r="145" spans="1:7" ht="12" customHeight="1" x14ac:dyDescent="0.2">
      <c r="A145" s="108"/>
      <c r="B145" s="194" t="s">
        <v>101</v>
      </c>
      <c r="C145" s="194"/>
      <c r="D145" s="194"/>
    </row>
    <row r="146" spans="1:7" x14ac:dyDescent="0.2">
      <c r="A146" s="108"/>
      <c r="B146" s="108" t="s">
        <v>102</v>
      </c>
      <c r="C146" s="109">
        <v>6.4999999999999997E-3</v>
      </c>
      <c r="D146" s="110">
        <f>(D161+D143+D151)*C146</f>
        <v>27.302437021502421</v>
      </c>
    </row>
    <row r="147" spans="1:7" x14ac:dyDescent="0.2">
      <c r="A147" s="108"/>
      <c r="B147" s="108" t="s">
        <v>103</v>
      </c>
      <c r="C147" s="109">
        <v>0.03</v>
      </c>
      <c r="D147" s="110">
        <f>(D161+D143+D151)*C147</f>
        <v>126.01124779154962</v>
      </c>
    </row>
    <row r="148" spans="1:7" x14ac:dyDescent="0.2">
      <c r="A148" s="108"/>
      <c r="B148" s="108" t="s">
        <v>104</v>
      </c>
      <c r="C148" s="109">
        <v>0.05</v>
      </c>
      <c r="D148" s="110">
        <f>(D161+D143+D151)*C148</f>
        <v>210.0187463192494</v>
      </c>
    </row>
    <row r="149" spans="1:7" x14ac:dyDescent="0.2">
      <c r="A149" s="108"/>
      <c r="B149" s="108" t="s">
        <v>105</v>
      </c>
      <c r="C149" s="109"/>
      <c r="D149" s="110">
        <v>0</v>
      </c>
    </row>
    <row r="150" spans="1:7" x14ac:dyDescent="0.2">
      <c r="A150" s="108"/>
      <c r="B150" s="108" t="s">
        <v>106</v>
      </c>
      <c r="C150" s="109"/>
      <c r="D150" s="110">
        <v>0</v>
      </c>
    </row>
    <row r="151" spans="1:7" x14ac:dyDescent="0.2">
      <c r="A151" s="108" t="s">
        <v>20</v>
      </c>
      <c r="B151" s="108" t="s">
        <v>107</v>
      </c>
      <c r="C151" s="109">
        <v>0.05</v>
      </c>
      <c r="D151" s="110">
        <f>(D49+D62+D71+D138)*C151</f>
        <v>190.92613301749944</v>
      </c>
      <c r="G151" s="140"/>
    </row>
    <row r="152" spans="1:7" ht="12" customHeight="1" x14ac:dyDescent="0.2">
      <c r="A152" s="190" t="s">
        <v>67</v>
      </c>
      <c r="B152" s="190"/>
      <c r="C152" s="190"/>
      <c r="D152" s="141">
        <f>SUM(D143:D151)</f>
        <v>745.18469716730033</v>
      </c>
      <c r="G152" s="140"/>
    </row>
    <row r="153" spans="1:7" x14ac:dyDescent="0.2">
      <c r="A153" s="104"/>
    </row>
    <row r="154" spans="1:7" x14ac:dyDescent="0.2">
      <c r="A154" s="107" t="s">
        <v>108</v>
      </c>
    </row>
    <row r="155" spans="1:7" x14ac:dyDescent="0.2">
      <c r="A155" s="107"/>
    </row>
    <row r="156" spans="1:7" ht="12" customHeight="1" x14ac:dyDescent="0.2">
      <c r="A156" s="190" t="s">
        <v>109</v>
      </c>
      <c r="B156" s="190"/>
      <c r="C156" s="190"/>
      <c r="D156" s="138" t="s">
        <v>34</v>
      </c>
    </row>
    <row r="157" spans="1:7" x14ac:dyDescent="0.2">
      <c r="A157" s="108" t="s">
        <v>16</v>
      </c>
      <c r="B157" s="108" t="s">
        <v>110</v>
      </c>
      <c r="C157" s="109"/>
      <c r="D157" s="110">
        <f>D49</f>
        <v>1789.9895000000001</v>
      </c>
    </row>
    <row r="158" spans="1:7" x14ac:dyDescent="0.2">
      <c r="A158" s="108" t="s">
        <v>18</v>
      </c>
      <c r="B158" s="108" t="s">
        <v>111</v>
      </c>
      <c r="C158" s="109"/>
      <c r="D158" s="110">
        <f>D62</f>
        <v>558.78001999833339</v>
      </c>
    </row>
    <row r="159" spans="1:7" ht="18" customHeight="1" x14ac:dyDescent="0.2">
      <c r="A159" s="108"/>
      <c r="B159" s="108" t="s">
        <v>112</v>
      </c>
      <c r="C159" s="109"/>
      <c r="D159" s="110">
        <f>D71</f>
        <v>127.37</v>
      </c>
      <c r="E159" s="106"/>
    </row>
    <row r="160" spans="1:7" x14ac:dyDescent="0.2">
      <c r="A160" s="108" t="s">
        <v>22</v>
      </c>
      <c r="B160" s="108" t="s">
        <v>113</v>
      </c>
      <c r="C160" s="109"/>
      <c r="D160" s="110">
        <f>D138</f>
        <v>1342.3831403516549</v>
      </c>
      <c r="E160" s="106"/>
    </row>
    <row r="161" spans="1:7" ht="12" customHeight="1" x14ac:dyDescent="0.2">
      <c r="A161" s="190" t="s">
        <v>114</v>
      </c>
      <c r="B161" s="190"/>
      <c r="C161" s="190"/>
      <c r="D161" s="110">
        <f>SUM(D157:D160)</f>
        <v>3818.5226603499887</v>
      </c>
    </row>
    <row r="162" spans="1:7" ht="12" customHeight="1" x14ac:dyDescent="0.2">
      <c r="A162" s="108" t="s">
        <v>11</v>
      </c>
      <c r="B162" s="190" t="s">
        <v>115</v>
      </c>
      <c r="C162" s="190"/>
      <c r="D162" s="110">
        <f>D152</f>
        <v>745.18469716730033</v>
      </c>
    </row>
    <row r="163" spans="1:7" ht="12" customHeight="1" x14ac:dyDescent="0.2">
      <c r="A163" s="190" t="s">
        <v>116</v>
      </c>
      <c r="B163" s="190"/>
      <c r="C163" s="190"/>
      <c r="D163" s="138">
        <f>SUM(D161:D162)</f>
        <v>4563.707357517289</v>
      </c>
    </row>
    <row r="164" spans="1:7" x14ac:dyDescent="0.2">
      <c r="A164" s="104"/>
    </row>
    <row r="165" spans="1:7" x14ac:dyDescent="0.2">
      <c r="A165" s="107" t="s">
        <v>117</v>
      </c>
    </row>
    <row r="166" spans="1:7" x14ac:dyDescent="0.2">
      <c r="A166" s="107"/>
    </row>
    <row r="167" spans="1:7" ht="36" customHeight="1" x14ac:dyDescent="0.2">
      <c r="A167" s="190" t="s">
        <v>27</v>
      </c>
      <c r="B167" s="190"/>
      <c r="C167" s="191" t="s">
        <v>118</v>
      </c>
      <c r="D167" s="110" t="s">
        <v>119</v>
      </c>
      <c r="E167" s="108" t="s">
        <v>120</v>
      </c>
      <c r="F167" s="108" t="s">
        <v>202</v>
      </c>
      <c r="G167" s="108" t="s">
        <v>122</v>
      </c>
    </row>
    <row r="168" spans="1:7" ht="12" customHeight="1" x14ac:dyDescent="0.2">
      <c r="A168" s="190" t="s">
        <v>123</v>
      </c>
      <c r="B168" s="190"/>
      <c r="C168" s="191"/>
      <c r="D168" s="110" t="s">
        <v>124</v>
      </c>
      <c r="E168" s="108" t="s">
        <v>125</v>
      </c>
      <c r="F168" s="108" t="s">
        <v>126</v>
      </c>
      <c r="G168" s="108" t="s">
        <v>127</v>
      </c>
    </row>
    <row r="169" spans="1:7" x14ac:dyDescent="0.2">
      <c r="A169" s="108" t="s">
        <v>49</v>
      </c>
      <c r="B169" s="108" t="s">
        <v>174</v>
      </c>
      <c r="C169" s="142">
        <f>D163</f>
        <v>4563.707357517289</v>
      </c>
      <c r="D169" s="143">
        <v>2</v>
      </c>
      <c r="E169" s="144">
        <f>ROUND(C169*D169,2)</f>
        <v>9127.41</v>
      </c>
      <c r="F169" s="108">
        <v>1</v>
      </c>
      <c r="G169" s="142">
        <f>ROUND(E169*F169,2)</f>
        <v>9127.41</v>
      </c>
    </row>
    <row r="170" spans="1:7" x14ac:dyDescent="0.2">
      <c r="A170" s="108" t="s">
        <v>129</v>
      </c>
      <c r="B170" s="108" t="s">
        <v>130</v>
      </c>
      <c r="C170" s="142" t="s">
        <v>131</v>
      </c>
      <c r="D170" s="110"/>
      <c r="E170" s="108" t="s">
        <v>131</v>
      </c>
      <c r="F170" s="108"/>
      <c r="G170" s="108" t="s">
        <v>131</v>
      </c>
    </row>
    <row r="171" spans="1:7" x14ac:dyDescent="0.2">
      <c r="A171" s="108"/>
      <c r="B171" s="108"/>
      <c r="C171" s="109"/>
      <c r="D171" s="110"/>
      <c r="E171" s="108"/>
      <c r="F171" s="108"/>
      <c r="G171" s="108"/>
    </row>
    <row r="172" spans="1:7" ht="12" customHeight="1" x14ac:dyDescent="0.2">
      <c r="A172" s="190" t="s">
        <v>132</v>
      </c>
      <c r="B172" s="190"/>
      <c r="C172" s="190"/>
      <c r="D172" s="190"/>
      <c r="E172" s="190"/>
      <c r="F172" s="190"/>
      <c r="G172" s="142">
        <f>ROUND(SUM(G169:G171),2)</f>
        <v>9127.41</v>
      </c>
    </row>
    <row r="173" spans="1:7" x14ac:dyDescent="0.2">
      <c r="A173" s="104"/>
    </row>
    <row r="174" spans="1:7" x14ac:dyDescent="0.2">
      <c r="A174" s="107" t="s">
        <v>133</v>
      </c>
    </row>
    <row r="175" spans="1:7" x14ac:dyDescent="0.2">
      <c r="A175" s="107"/>
    </row>
    <row r="176" spans="1:7" ht="12" customHeight="1" x14ac:dyDescent="0.2">
      <c r="A176" s="189" t="s">
        <v>134</v>
      </c>
      <c r="B176" s="189"/>
      <c r="C176" s="189"/>
    </row>
    <row r="177" spans="1:5" x14ac:dyDescent="0.2">
      <c r="A177" s="108"/>
      <c r="B177" s="108" t="s">
        <v>135</v>
      </c>
      <c r="C177" s="109" t="s">
        <v>34</v>
      </c>
      <c r="E177" s="106"/>
    </row>
    <row r="178" spans="1:5" x14ac:dyDescent="0.2">
      <c r="A178" s="108" t="s">
        <v>16</v>
      </c>
      <c r="B178" s="108" t="s">
        <v>136</v>
      </c>
      <c r="C178" s="142">
        <f>E169</f>
        <v>9127.41</v>
      </c>
      <c r="E178" s="145"/>
    </row>
    <row r="179" spans="1:5" x14ac:dyDescent="0.2">
      <c r="A179" s="108" t="s">
        <v>18</v>
      </c>
      <c r="B179" s="108" t="s">
        <v>137</v>
      </c>
      <c r="C179" s="144">
        <f>G172</f>
        <v>9127.41</v>
      </c>
    </row>
    <row r="180" spans="1:5" ht="25.5" x14ac:dyDescent="0.2">
      <c r="A180" s="108" t="s">
        <v>20</v>
      </c>
      <c r="B180" s="108" t="s">
        <v>138</v>
      </c>
      <c r="C180" s="125">
        <f>ROUND(C179*12,2)</f>
        <v>109528.92</v>
      </c>
    </row>
  </sheetData>
  <mergeCells count="47">
    <mergeCell ref="E67:G67"/>
    <mergeCell ref="E68:G68"/>
    <mergeCell ref="E69:G69"/>
    <mergeCell ref="E42:G42"/>
    <mergeCell ref="A26:B26"/>
    <mergeCell ref="A1:F1"/>
    <mergeCell ref="A4:F4"/>
    <mergeCell ref="A5:F5"/>
    <mergeCell ref="A6:F6"/>
    <mergeCell ref="A7:F7"/>
    <mergeCell ref="A8:E8"/>
    <mergeCell ref="A9:E9"/>
    <mergeCell ref="A10:E10"/>
    <mergeCell ref="A11:E11"/>
    <mergeCell ref="A14:E14"/>
    <mergeCell ref="A23:B23"/>
    <mergeCell ref="A103:B103"/>
    <mergeCell ref="A34:C34"/>
    <mergeCell ref="B41:C41"/>
    <mergeCell ref="A49:C49"/>
    <mergeCell ref="B53:C53"/>
    <mergeCell ref="A62:C62"/>
    <mergeCell ref="B66:C66"/>
    <mergeCell ref="A71:C71"/>
    <mergeCell ref="A85:B85"/>
    <mergeCell ref="B89:C89"/>
    <mergeCell ref="A94:B94"/>
    <mergeCell ref="B100:C100"/>
    <mergeCell ref="A161:C161"/>
    <mergeCell ref="B107:C107"/>
    <mergeCell ref="A114:B114"/>
    <mergeCell ref="B118:C118"/>
    <mergeCell ref="A125:B125"/>
    <mergeCell ref="A127:B127"/>
    <mergeCell ref="B131:C131"/>
    <mergeCell ref="A138:C138"/>
    <mergeCell ref="B144:D144"/>
    <mergeCell ref="B145:D145"/>
    <mergeCell ref="A152:C152"/>
    <mergeCell ref="A156:C156"/>
    <mergeCell ref="A176:C176"/>
    <mergeCell ref="B162:C162"/>
    <mergeCell ref="A163:C163"/>
    <mergeCell ref="A167:B167"/>
    <mergeCell ref="C167:C168"/>
    <mergeCell ref="A168:B168"/>
    <mergeCell ref="A172:F172"/>
  </mergeCells>
  <pageMargins left="0.79" right="0.17" top="0.78740157499999996" bottom="0.78740157499999996" header="0.31" footer="0.31496062000000002"/>
  <pageSetup paperSize="9" scale="68" fitToHeight="0" orientation="portrait" r:id="rId1"/>
  <rowBreaks count="2" manualBreakCount="2">
    <brk id="59" max="6" man="1"/>
    <brk id="139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1"/>
  <sheetViews>
    <sheetView view="pageBreakPreview" topLeftCell="A148" zoomScaleSheetLayoutView="100" workbookViewId="0">
      <selection activeCell="D179" sqref="D179"/>
    </sheetView>
  </sheetViews>
  <sheetFormatPr defaultColWidth="10" defaultRowHeight="12.75" x14ac:dyDescent="0.2"/>
  <cols>
    <col min="1" max="1" width="8.42578125" style="85" customWidth="1"/>
    <col min="2" max="2" width="54.28515625" style="85" customWidth="1"/>
    <col min="3" max="3" width="15.28515625" style="90" customWidth="1"/>
    <col min="4" max="4" width="13.140625" style="91" customWidth="1"/>
    <col min="5" max="5" width="14.7109375" style="47" bestFit="1" customWidth="1"/>
    <col min="6" max="6" width="12.28515625" style="47" bestFit="1" customWidth="1"/>
    <col min="7" max="7" width="14.140625" style="47" customWidth="1"/>
    <col min="8" max="16384" width="10" style="85"/>
  </cols>
  <sheetData>
    <row r="1" spans="1:6" s="151" customFormat="1" ht="12" x14ac:dyDescent="0.2">
      <c r="A1" s="195" t="s">
        <v>203</v>
      </c>
      <c r="B1" s="195"/>
      <c r="C1" s="195"/>
      <c r="D1" s="195"/>
      <c r="E1" s="195"/>
      <c r="F1" s="195"/>
    </row>
    <row r="2" spans="1:6" s="151" customFormat="1" ht="29.25" customHeight="1" x14ac:dyDescent="0.2">
      <c r="A2" s="152"/>
      <c r="C2" s="153"/>
      <c r="D2" s="154"/>
    </row>
    <row r="3" spans="1:6" s="151" customFormat="1" thickBot="1" x14ac:dyDescent="0.25">
      <c r="A3" s="155"/>
      <c r="C3" s="153"/>
      <c r="D3" s="154"/>
    </row>
    <row r="4" spans="1:6" s="151" customFormat="1" ht="12.75" customHeight="1" thickBot="1" x14ac:dyDescent="0.25">
      <c r="A4" s="185"/>
      <c r="B4" s="185"/>
      <c r="C4" s="185"/>
      <c r="D4" s="185"/>
      <c r="E4" s="185"/>
      <c r="F4" s="185"/>
    </row>
    <row r="5" spans="1:6" s="151" customFormat="1" ht="12.75" customHeight="1" thickBot="1" x14ac:dyDescent="0.25">
      <c r="A5" s="186" t="s">
        <v>215</v>
      </c>
      <c r="B5" s="186"/>
      <c r="C5" s="186"/>
      <c r="D5" s="186"/>
      <c r="E5" s="186"/>
      <c r="F5" s="186"/>
    </row>
    <row r="6" spans="1:6" s="151" customFormat="1" ht="12.75" customHeight="1" thickBot="1" x14ac:dyDescent="0.25">
      <c r="A6" s="186" t="s">
        <v>216</v>
      </c>
      <c r="B6" s="186"/>
      <c r="C6" s="186"/>
      <c r="D6" s="186"/>
      <c r="E6" s="186"/>
      <c r="F6" s="186"/>
    </row>
    <row r="7" spans="1:6" s="151" customFormat="1" ht="12.75" customHeight="1" thickBot="1" x14ac:dyDescent="0.25">
      <c r="A7" s="187"/>
      <c r="B7" s="187"/>
      <c r="C7" s="187"/>
      <c r="D7" s="187"/>
      <c r="E7" s="187"/>
      <c r="F7" s="187"/>
    </row>
    <row r="8" spans="1:6" s="151" customFormat="1" ht="12.75" customHeight="1" thickBot="1" x14ac:dyDescent="0.25">
      <c r="A8" s="188" t="s">
        <v>206</v>
      </c>
      <c r="B8" s="188"/>
      <c r="C8" s="188"/>
      <c r="D8" s="188"/>
      <c r="E8" s="188"/>
      <c r="F8" s="166"/>
    </row>
    <row r="9" spans="1:6" s="151" customFormat="1" ht="12.75" customHeight="1" thickBot="1" x14ac:dyDescent="0.25">
      <c r="A9" s="188" t="s">
        <v>1</v>
      </c>
      <c r="B9" s="188"/>
      <c r="C9" s="188"/>
      <c r="D9" s="188"/>
      <c r="E9" s="188"/>
      <c r="F9" s="166"/>
    </row>
    <row r="10" spans="1:6" s="151" customFormat="1" ht="12.75" customHeight="1" thickBot="1" x14ac:dyDescent="0.25">
      <c r="A10" s="188" t="s">
        <v>217</v>
      </c>
      <c r="B10" s="188"/>
      <c r="C10" s="188"/>
      <c r="D10" s="188"/>
      <c r="E10" s="188"/>
      <c r="F10" s="166"/>
    </row>
    <row r="11" spans="1:6" s="151" customFormat="1" ht="12.75" customHeight="1" thickBot="1" x14ac:dyDescent="0.25">
      <c r="A11" s="188" t="s">
        <v>2</v>
      </c>
      <c r="B11" s="188"/>
      <c r="C11" s="188"/>
      <c r="D11" s="188"/>
      <c r="E11" s="188"/>
      <c r="F11" s="166"/>
    </row>
    <row r="12" spans="1:6" ht="25.5" x14ac:dyDescent="0.2">
      <c r="A12" s="52" t="s">
        <v>3</v>
      </c>
      <c r="B12" s="52" t="s">
        <v>4</v>
      </c>
      <c r="C12" s="53" t="s">
        <v>5</v>
      </c>
      <c r="D12" s="54" t="s">
        <v>6</v>
      </c>
      <c r="E12" s="52" t="s">
        <v>7</v>
      </c>
      <c r="F12" s="52" t="s">
        <v>8</v>
      </c>
    </row>
    <row r="13" spans="1:6" x14ac:dyDescent="0.2">
      <c r="A13" s="55">
        <v>1</v>
      </c>
      <c r="B13" s="55" t="s">
        <v>9</v>
      </c>
      <c r="C13" s="165">
        <f>E168</f>
        <v>10376.5</v>
      </c>
      <c r="D13" s="56">
        <v>1</v>
      </c>
      <c r="E13" s="57">
        <f>C13*D13</f>
        <v>10376.5</v>
      </c>
      <c r="F13" s="58">
        <f>C179</f>
        <v>124518</v>
      </c>
    </row>
    <row r="14" spans="1:6" ht="12.75" customHeight="1" x14ac:dyDescent="0.2">
      <c r="A14" s="199" t="s">
        <v>10</v>
      </c>
      <c r="B14" s="199"/>
      <c r="C14" s="199"/>
      <c r="D14" s="199"/>
      <c r="E14" s="199"/>
      <c r="F14" s="52"/>
    </row>
    <row r="15" spans="1:6" ht="9" customHeight="1" x14ac:dyDescent="0.2">
      <c r="A15" s="51"/>
      <c r="B15" s="47"/>
      <c r="C15" s="49"/>
      <c r="D15" s="50"/>
    </row>
    <row r="16" spans="1:6" x14ac:dyDescent="0.2">
      <c r="A16" s="59" t="s">
        <v>11</v>
      </c>
      <c r="B16" s="59" t="s">
        <v>12</v>
      </c>
      <c r="C16" s="49"/>
      <c r="D16" s="50"/>
    </row>
    <row r="17" spans="1:4" x14ac:dyDescent="0.2">
      <c r="A17" s="60"/>
      <c r="B17" s="61" t="s">
        <v>13</v>
      </c>
      <c r="C17" s="49"/>
      <c r="D17" s="50"/>
    </row>
    <row r="18" spans="1:4" ht="9.75" customHeight="1" x14ac:dyDescent="0.2">
      <c r="A18" s="51"/>
      <c r="B18" s="47"/>
      <c r="C18" s="49"/>
      <c r="D18" s="50"/>
    </row>
    <row r="19" spans="1:4" x14ac:dyDescent="0.2">
      <c r="A19" s="51" t="s">
        <v>14</v>
      </c>
      <c r="B19" s="47"/>
      <c r="C19" s="49"/>
      <c r="D19" s="50"/>
    </row>
    <row r="20" spans="1:4" ht="6.75" customHeight="1" x14ac:dyDescent="0.2">
      <c r="A20" s="51"/>
      <c r="B20" s="47"/>
      <c r="C20" s="49"/>
      <c r="D20" s="50"/>
    </row>
    <row r="21" spans="1:4" x14ac:dyDescent="0.2">
      <c r="A21" s="51" t="s">
        <v>15</v>
      </c>
      <c r="B21" s="47"/>
      <c r="C21" s="49"/>
      <c r="D21" s="50"/>
    </row>
    <row r="22" spans="1:4" ht="8.25" customHeight="1" x14ac:dyDescent="0.2">
      <c r="A22" s="51"/>
      <c r="B22" s="47"/>
      <c r="C22" s="49"/>
      <c r="D22" s="50"/>
    </row>
    <row r="23" spans="1:4" ht="12.75" customHeight="1" x14ac:dyDescent="0.2">
      <c r="A23" s="198" t="s">
        <v>0</v>
      </c>
      <c r="B23" s="198"/>
      <c r="C23" s="49"/>
      <c r="D23" s="50"/>
    </row>
    <row r="24" spans="1:4" x14ac:dyDescent="0.2">
      <c r="A24" s="52"/>
      <c r="B24" s="52" t="s">
        <v>215</v>
      </c>
      <c r="C24" s="49"/>
      <c r="D24" s="50"/>
    </row>
    <row r="25" spans="1:4" x14ac:dyDescent="0.2">
      <c r="A25" s="52"/>
      <c r="B25" s="52" t="s">
        <v>230</v>
      </c>
      <c r="C25" s="49"/>
      <c r="D25" s="50"/>
    </row>
    <row r="26" spans="1:4" ht="12" customHeight="1" x14ac:dyDescent="0.2">
      <c r="A26" s="199"/>
      <c r="B26" s="199"/>
      <c r="C26" s="49"/>
      <c r="D26" s="50"/>
    </row>
    <row r="27" spans="1:4" x14ac:dyDescent="0.2">
      <c r="A27" s="51"/>
      <c r="B27" s="47"/>
      <c r="C27" s="49"/>
      <c r="D27" s="50"/>
    </row>
    <row r="28" spans="1:4" x14ac:dyDescent="0.2">
      <c r="A28" s="62" t="s">
        <v>16</v>
      </c>
      <c r="B28" s="52" t="s">
        <v>17</v>
      </c>
      <c r="C28" s="86"/>
      <c r="D28" s="50"/>
    </row>
    <row r="29" spans="1:4" x14ac:dyDescent="0.2">
      <c r="A29" s="62" t="s">
        <v>18</v>
      </c>
      <c r="B29" s="52" t="s">
        <v>19</v>
      </c>
      <c r="C29" s="53" t="s">
        <v>173</v>
      </c>
      <c r="D29" s="50"/>
    </row>
    <row r="30" spans="1:4" ht="25.5" x14ac:dyDescent="0.2">
      <c r="A30" s="62" t="s">
        <v>20</v>
      </c>
      <c r="B30" s="52" t="s">
        <v>21</v>
      </c>
      <c r="C30" s="86">
        <v>44228</v>
      </c>
      <c r="D30" s="50"/>
    </row>
    <row r="31" spans="1:4" x14ac:dyDescent="0.2">
      <c r="A31" s="62" t="s">
        <v>22</v>
      </c>
      <c r="B31" s="52" t="s">
        <v>23</v>
      </c>
      <c r="C31" s="63" t="s">
        <v>24</v>
      </c>
      <c r="D31" s="50"/>
    </row>
    <row r="32" spans="1:4" ht="8.25" customHeight="1" x14ac:dyDescent="0.2">
      <c r="A32" s="51"/>
      <c r="B32" s="47"/>
      <c r="C32" s="49"/>
      <c r="D32" s="50"/>
    </row>
    <row r="33" spans="1:14" x14ac:dyDescent="0.2">
      <c r="A33" s="51" t="s">
        <v>25</v>
      </c>
      <c r="B33" s="47"/>
      <c r="C33" s="49"/>
      <c r="D33" s="50"/>
    </row>
    <row r="34" spans="1:14" ht="12" customHeight="1" x14ac:dyDescent="0.2">
      <c r="A34" s="199" t="s">
        <v>26</v>
      </c>
      <c r="B34" s="199"/>
      <c r="C34" s="199"/>
      <c r="D34" s="50"/>
    </row>
    <row r="35" spans="1:14" x14ac:dyDescent="0.2">
      <c r="A35" s="52">
        <v>1</v>
      </c>
      <c r="B35" s="52" t="s">
        <v>27</v>
      </c>
      <c r="C35" s="53" t="s">
        <v>28</v>
      </c>
      <c r="D35" s="50"/>
    </row>
    <row r="36" spans="1:14" x14ac:dyDescent="0.2">
      <c r="A36" s="52">
        <v>2</v>
      </c>
      <c r="B36" s="52" t="s">
        <v>29</v>
      </c>
      <c r="C36" s="120">
        <v>1249.1600000000001</v>
      </c>
      <c r="D36" s="50"/>
      <c r="E36" s="50"/>
      <c r="F36" s="50"/>
    </row>
    <row r="37" spans="1:14" x14ac:dyDescent="0.2">
      <c r="A37" s="52">
        <v>3</v>
      </c>
      <c r="B37" s="52" t="s">
        <v>30</v>
      </c>
      <c r="C37" s="53" t="s">
        <v>28</v>
      </c>
      <c r="D37" s="50"/>
    </row>
    <row r="38" spans="1:14" x14ac:dyDescent="0.2">
      <c r="A38" s="52">
        <v>4</v>
      </c>
      <c r="B38" s="52" t="s">
        <v>31</v>
      </c>
      <c r="C38" s="159" t="s">
        <v>220</v>
      </c>
      <c r="D38" s="50"/>
    </row>
    <row r="39" spans="1:14" x14ac:dyDescent="0.2">
      <c r="A39" s="51" t="s">
        <v>32</v>
      </c>
      <c r="B39" s="47"/>
      <c r="C39" s="49"/>
      <c r="D39" s="50"/>
      <c r="F39" s="157"/>
    </row>
    <row r="40" spans="1:14" ht="9" customHeight="1" x14ac:dyDescent="0.2">
      <c r="A40" s="51"/>
      <c r="B40" s="47"/>
      <c r="C40" s="49"/>
      <c r="D40" s="50"/>
    </row>
    <row r="41" spans="1:14" ht="12" customHeight="1" x14ac:dyDescent="0.2">
      <c r="A41" s="64">
        <v>1</v>
      </c>
      <c r="B41" s="201" t="s">
        <v>33</v>
      </c>
      <c r="C41" s="201"/>
      <c r="D41" s="65" t="s">
        <v>34</v>
      </c>
    </row>
    <row r="42" spans="1:14" x14ac:dyDescent="0.2">
      <c r="A42" s="52" t="s">
        <v>16</v>
      </c>
      <c r="B42" s="52" t="s">
        <v>35</v>
      </c>
      <c r="C42" s="53"/>
      <c r="D42" s="120">
        <f>C36</f>
        <v>1249.1600000000001</v>
      </c>
      <c r="E42" s="50"/>
      <c r="F42" s="50"/>
      <c r="G42" s="50"/>
    </row>
    <row r="43" spans="1:14" x14ac:dyDescent="0.2">
      <c r="A43" s="52" t="s">
        <v>18</v>
      </c>
      <c r="B43" s="52" t="s">
        <v>36</v>
      </c>
      <c r="C43" s="53">
        <v>0.3</v>
      </c>
      <c r="D43" s="54">
        <f>C43*D42</f>
        <v>374.74799999999999</v>
      </c>
      <c r="E43" s="50"/>
      <c r="F43" s="50"/>
      <c r="G43" s="50"/>
    </row>
    <row r="44" spans="1:14" x14ac:dyDescent="0.2">
      <c r="A44" s="52" t="s">
        <v>20</v>
      </c>
      <c r="B44" s="52" t="s">
        <v>37</v>
      </c>
      <c r="C44" s="53">
        <v>0</v>
      </c>
      <c r="D44" s="54">
        <v>0</v>
      </c>
      <c r="E44" s="50"/>
      <c r="F44" s="50"/>
      <c r="G44" s="50"/>
    </row>
    <row r="45" spans="1:14" x14ac:dyDescent="0.2">
      <c r="A45" s="52" t="s">
        <v>22</v>
      </c>
      <c r="B45" s="52" t="s">
        <v>38</v>
      </c>
      <c r="C45" s="53"/>
      <c r="D45" s="67">
        <f>(D42+D43)/220*0.2*15*7</f>
        <v>155.0094</v>
      </c>
      <c r="E45" s="50"/>
      <c r="F45" s="50"/>
      <c r="G45" s="50"/>
    </row>
    <row r="46" spans="1:14" x14ac:dyDescent="0.2">
      <c r="A46" s="52" t="s">
        <v>11</v>
      </c>
      <c r="B46" s="52" t="s">
        <v>204</v>
      </c>
      <c r="C46" s="53">
        <v>0</v>
      </c>
      <c r="D46" s="54">
        <f>(D42+D43+D45)/220*1.5*15</f>
        <v>181.9347340909091</v>
      </c>
      <c r="E46" s="50"/>
      <c r="F46" s="50"/>
      <c r="G46" s="50"/>
    </row>
    <row r="47" spans="1:14" x14ac:dyDescent="0.2">
      <c r="A47" s="52" t="s">
        <v>40</v>
      </c>
      <c r="B47" s="52" t="s">
        <v>41</v>
      </c>
      <c r="C47" s="53">
        <v>0</v>
      </c>
      <c r="D47" s="66">
        <f>D42*C47</f>
        <v>0</v>
      </c>
      <c r="E47" s="50"/>
      <c r="F47" s="50"/>
      <c r="G47" s="50"/>
      <c r="N47" s="158"/>
    </row>
    <row r="48" spans="1:14" x14ac:dyDescent="0.2">
      <c r="A48" s="52" t="s">
        <v>42</v>
      </c>
      <c r="B48" s="52" t="s">
        <v>140</v>
      </c>
      <c r="C48" s="53">
        <v>0</v>
      </c>
      <c r="D48" s="68">
        <f>SUM(D42)/220*1.5*15</f>
        <v>127.755</v>
      </c>
      <c r="E48" s="50"/>
      <c r="F48" s="50"/>
      <c r="G48" s="50"/>
    </row>
    <row r="49" spans="1:8" x14ac:dyDescent="0.2">
      <c r="A49" s="204" t="s">
        <v>45</v>
      </c>
      <c r="B49" s="204"/>
      <c r="C49" s="204"/>
      <c r="D49" s="161">
        <f>D42+D43+D44+D45+D46+D47+D48</f>
        <v>2088.6071340909093</v>
      </c>
    </row>
    <row r="50" spans="1:8" ht="8.25" customHeight="1" x14ac:dyDescent="0.2">
      <c r="A50" s="48"/>
      <c r="B50" s="47"/>
      <c r="C50" s="49"/>
      <c r="D50" s="50"/>
    </row>
    <row r="51" spans="1:8" x14ac:dyDescent="0.2">
      <c r="A51" s="51" t="s">
        <v>46</v>
      </c>
      <c r="B51" s="47"/>
      <c r="C51" s="49"/>
      <c r="D51" s="50"/>
    </row>
    <row r="52" spans="1:8" ht="8.25" customHeight="1" x14ac:dyDescent="0.2">
      <c r="A52" s="48"/>
      <c r="B52" s="47"/>
      <c r="C52" s="49"/>
      <c r="D52" s="50"/>
    </row>
    <row r="53" spans="1:8" ht="12.75" customHeight="1" x14ac:dyDescent="0.2">
      <c r="A53" s="62">
        <v>2</v>
      </c>
      <c r="B53" s="201" t="s">
        <v>47</v>
      </c>
      <c r="C53" s="201"/>
      <c r="D53" s="65" t="s">
        <v>34</v>
      </c>
    </row>
    <row r="54" spans="1:8" x14ac:dyDescent="0.2">
      <c r="A54" s="52" t="s">
        <v>16</v>
      </c>
      <c r="B54" s="69" t="s">
        <v>231</v>
      </c>
      <c r="C54" s="53"/>
      <c r="D54" s="54">
        <f>(3.7*15*2)</f>
        <v>111</v>
      </c>
      <c r="E54" s="70"/>
      <c r="F54" s="71"/>
      <c r="H54" s="87"/>
    </row>
    <row r="55" spans="1:8" x14ac:dyDescent="0.2">
      <c r="A55" s="52" t="s">
        <v>20</v>
      </c>
      <c r="B55" s="127" t="s">
        <v>222</v>
      </c>
      <c r="C55" s="53"/>
      <c r="D55" s="54">
        <f>20*15</f>
        <v>300</v>
      </c>
    </row>
    <row r="56" spans="1:8" x14ac:dyDescent="0.2">
      <c r="A56" s="52" t="s">
        <v>22</v>
      </c>
      <c r="B56" s="167" t="s">
        <v>223</v>
      </c>
      <c r="C56" s="53"/>
      <c r="D56" s="110">
        <f>'Exames e Plano de Saúde'!D10</f>
        <v>115.80792579999999</v>
      </c>
      <c r="F56" s="72"/>
    </row>
    <row r="57" spans="1:8" x14ac:dyDescent="0.2">
      <c r="A57" s="52" t="s">
        <v>11</v>
      </c>
      <c r="B57" s="167" t="s">
        <v>48</v>
      </c>
      <c r="C57" s="53"/>
      <c r="D57" s="110">
        <v>0</v>
      </c>
    </row>
    <row r="58" spans="1:8" x14ac:dyDescent="0.2">
      <c r="A58" s="52" t="s">
        <v>40</v>
      </c>
      <c r="B58" s="167" t="s">
        <v>225</v>
      </c>
      <c r="C58" s="53"/>
      <c r="D58" s="110">
        <f>'Exames e Plano de Saúde'!D12</f>
        <v>3.01003899</v>
      </c>
      <c r="F58" s="72"/>
    </row>
    <row r="59" spans="1:8" x14ac:dyDescent="0.2">
      <c r="A59" s="52" t="s">
        <v>42</v>
      </c>
      <c r="B59" s="167" t="s">
        <v>227</v>
      </c>
      <c r="C59" s="53"/>
      <c r="D59" s="110">
        <v>0</v>
      </c>
    </row>
    <row r="60" spans="1:8" x14ac:dyDescent="0.2">
      <c r="A60" s="52" t="s">
        <v>43</v>
      </c>
      <c r="B60" s="167" t="s">
        <v>226</v>
      </c>
      <c r="C60" s="53">
        <v>0</v>
      </c>
      <c r="D60" s="110">
        <v>0</v>
      </c>
    </row>
    <row r="61" spans="1:8" x14ac:dyDescent="0.2">
      <c r="A61" s="52" t="s">
        <v>49</v>
      </c>
      <c r="B61" s="167" t="s">
        <v>189</v>
      </c>
      <c r="C61" s="53"/>
      <c r="D61" s="110">
        <f>'Exames e Plano de Saúde'!F7</f>
        <v>28.962055208333332</v>
      </c>
    </row>
    <row r="62" spans="1:8" ht="12.75" customHeight="1" x14ac:dyDescent="0.2">
      <c r="A62" s="206" t="s">
        <v>50</v>
      </c>
      <c r="B62" s="206"/>
      <c r="C62" s="206"/>
      <c r="D62" s="162">
        <f>SUM(D54:D61)</f>
        <v>558.78001999833339</v>
      </c>
    </row>
    <row r="63" spans="1:8" x14ac:dyDescent="0.2">
      <c r="A63" s="48"/>
      <c r="B63" s="47"/>
      <c r="C63" s="49"/>
      <c r="D63" s="50"/>
    </row>
    <row r="64" spans="1:8" x14ac:dyDescent="0.2">
      <c r="A64" s="51" t="s">
        <v>51</v>
      </c>
      <c r="B64" s="47"/>
      <c r="C64" s="49"/>
      <c r="D64" s="50"/>
    </row>
    <row r="65" spans="1:4" x14ac:dyDescent="0.2">
      <c r="A65" s="48"/>
      <c r="B65" s="47"/>
      <c r="C65" s="49"/>
      <c r="D65" s="50"/>
    </row>
    <row r="66" spans="1:4" ht="12" customHeight="1" x14ac:dyDescent="0.2">
      <c r="A66" s="62">
        <v>3</v>
      </c>
      <c r="B66" s="201" t="s">
        <v>52</v>
      </c>
      <c r="C66" s="201"/>
      <c r="D66" s="65" t="s">
        <v>34</v>
      </c>
    </row>
    <row r="67" spans="1:4" x14ac:dyDescent="0.2">
      <c r="A67" s="52" t="s">
        <v>16</v>
      </c>
      <c r="B67" s="208" t="s">
        <v>175</v>
      </c>
      <c r="C67" s="209"/>
      <c r="D67" s="133">
        <f>Uniforme!G19</f>
        <v>70.59</v>
      </c>
    </row>
    <row r="68" spans="1:4" x14ac:dyDescent="0.2">
      <c r="A68" s="52" t="s">
        <v>18</v>
      </c>
      <c r="B68" s="208" t="s">
        <v>176</v>
      </c>
      <c r="C68" s="209"/>
      <c r="D68" s="133">
        <f>Material!F21</f>
        <v>6.47</v>
      </c>
    </row>
    <row r="69" spans="1:4" x14ac:dyDescent="0.2">
      <c r="A69" s="52" t="s">
        <v>20</v>
      </c>
      <c r="B69" s="208" t="s">
        <v>177</v>
      </c>
      <c r="C69" s="209"/>
      <c r="D69" s="133">
        <f>Equipamento!F8</f>
        <v>50.31</v>
      </c>
    </row>
    <row r="70" spans="1:4" x14ac:dyDescent="0.2">
      <c r="A70" s="52" t="s">
        <v>22</v>
      </c>
      <c r="B70" s="208" t="s">
        <v>178</v>
      </c>
      <c r="C70" s="209"/>
      <c r="D70" s="73"/>
    </row>
    <row r="71" spans="1:4" ht="12" customHeight="1" x14ac:dyDescent="0.2">
      <c r="A71" s="206" t="s">
        <v>53</v>
      </c>
      <c r="B71" s="206"/>
      <c r="C71" s="206"/>
      <c r="D71" s="164">
        <f>SUM(D67:D70)</f>
        <v>127.37</v>
      </c>
    </row>
    <row r="72" spans="1:4" x14ac:dyDescent="0.2">
      <c r="A72" s="51"/>
      <c r="B72" s="47"/>
      <c r="C72" s="49"/>
      <c r="D72" s="50"/>
    </row>
    <row r="73" spans="1:4" x14ac:dyDescent="0.2">
      <c r="A73" s="51" t="s">
        <v>54</v>
      </c>
      <c r="B73" s="47"/>
      <c r="C73" s="49"/>
      <c r="D73" s="50"/>
    </row>
    <row r="74" spans="1:4" x14ac:dyDescent="0.2">
      <c r="A74" s="51"/>
      <c r="B74" s="47"/>
      <c r="C74" s="49"/>
      <c r="D74" s="50"/>
    </row>
    <row r="75" spans="1:4" x14ac:dyDescent="0.2">
      <c r="A75" s="48" t="s">
        <v>55</v>
      </c>
      <c r="B75" s="47"/>
      <c r="C75" s="49"/>
      <c r="D75" s="50"/>
    </row>
    <row r="76" spans="1:4" x14ac:dyDescent="0.2">
      <c r="A76" s="62" t="s">
        <v>56</v>
      </c>
      <c r="B76" s="62" t="s">
        <v>57</v>
      </c>
      <c r="C76" s="63" t="s">
        <v>58</v>
      </c>
      <c r="D76" s="65" t="s">
        <v>34</v>
      </c>
    </row>
    <row r="77" spans="1:4" x14ac:dyDescent="0.2">
      <c r="A77" s="52" t="s">
        <v>16</v>
      </c>
      <c r="B77" s="52" t="s">
        <v>59</v>
      </c>
      <c r="C77" s="53">
        <v>0.2</v>
      </c>
      <c r="D77" s="54">
        <f>D49*0.2</f>
        <v>417.7214268181819</v>
      </c>
    </row>
    <row r="78" spans="1:4" x14ac:dyDescent="0.2">
      <c r="A78" s="52" t="s">
        <v>18</v>
      </c>
      <c r="B78" s="52" t="s">
        <v>60</v>
      </c>
      <c r="C78" s="53">
        <v>1.4999999999999999E-2</v>
      </c>
      <c r="D78" s="54">
        <f>D49*0.015</f>
        <v>31.329107011363639</v>
      </c>
    </row>
    <row r="79" spans="1:4" x14ac:dyDescent="0.2">
      <c r="A79" s="52" t="s">
        <v>20</v>
      </c>
      <c r="B79" s="52" t="s">
        <v>61</v>
      </c>
      <c r="C79" s="53">
        <v>0.01</v>
      </c>
      <c r="D79" s="54">
        <f>D49*0.01</f>
        <v>20.886071340909094</v>
      </c>
    </row>
    <row r="80" spans="1:4" x14ac:dyDescent="0.2">
      <c r="A80" s="52" t="s">
        <v>22</v>
      </c>
      <c r="B80" s="52" t="s">
        <v>62</v>
      </c>
      <c r="C80" s="53">
        <v>2E-3</v>
      </c>
      <c r="D80" s="54">
        <f>D49*0.002</f>
        <v>4.1772142681818183</v>
      </c>
    </row>
    <row r="81" spans="1:4" x14ac:dyDescent="0.2">
      <c r="A81" s="52" t="s">
        <v>11</v>
      </c>
      <c r="B81" s="52" t="s">
        <v>63</v>
      </c>
      <c r="C81" s="53">
        <v>2.5000000000000001E-2</v>
      </c>
      <c r="D81" s="54">
        <f>D49*0.025</f>
        <v>52.215178352272737</v>
      </c>
    </row>
    <row r="82" spans="1:4" x14ac:dyDescent="0.2">
      <c r="A82" s="52" t="s">
        <v>40</v>
      </c>
      <c r="B82" s="52" t="s">
        <v>64</v>
      </c>
      <c r="C82" s="53">
        <v>0.08</v>
      </c>
      <c r="D82" s="54">
        <f>D49*0.08</f>
        <v>167.08857072727275</v>
      </c>
    </row>
    <row r="83" spans="1:4" x14ac:dyDescent="0.2">
      <c r="A83" s="52" t="s">
        <v>42</v>
      </c>
      <c r="B83" s="52" t="s">
        <v>65</v>
      </c>
      <c r="C83" s="53">
        <v>0.03</v>
      </c>
      <c r="D83" s="54">
        <f>D49*0.03</f>
        <v>62.658214022727279</v>
      </c>
    </row>
    <row r="84" spans="1:4" x14ac:dyDescent="0.2">
      <c r="A84" s="52" t="s">
        <v>43</v>
      </c>
      <c r="B84" s="52" t="s">
        <v>66</v>
      </c>
      <c r="C84" s="53">
        <v>6.0000000000000001E-3</v>
      </c>
      <c r="D84" s="54">
        <f>D49*0.006</f>
        <v>12.531642804545456</v>
      </c>
    </row>
    <row r="85" spans="1:4" ht="12" customHeight="1" x14ac:dyDescent="0.2">
      <c r="A85" s="207" t="s">
        <v>67</v>
      </c>
      <c r="B85" s="207"/>
      <c r="C85" s="163">
        <f>SUM(C77:C84)</f>
        <v>0.3680000000000001</v>
      </c>
      <c r="D85" s="74">
        <f>SUM(D77:D84)</f>
        <v>768.60742534545466</v>
      </c>
    </row>
    <row r="86" spans="1:4" x14ac:dyDescent="0.2">
      <c r="A86" s="48"/>
      <c r="B86" s="47"/>
      <c r="C86" s="49"/>
      <c r="D86" s="50"/>
    </row>
    <row r="87" spans="1:4" x14ac:dyDescent="0.2">
      <c r="A87" s="48" t="s">
        <v>68</v>
      </c>
      <c r="B87" s="47"/>
      <c r="C87" s="49"/>
      <c r="D87" s="50"/>
    </row>
    <row r="88" spans="1:4" x14ac:dyDescent="0.2">
      <c r="A88" s="48"/>
      <c r="B88" s="47"/>
      <c r="C88" s="49"/>
      <c r="D88" s="50"/>
    </row>
    <row r="89" spans="1:4" ht="12" customHeight="1" x14ac:dyDescent="0.2">
      <c r="A89" s="62" t="s">
        <v>69</v>
      </c>
      <c r="B89" s="201" t="s">
        <v>70</v>
      </c>
      <c r="C89" s="201"/>
      <c r="D89" s="65" t="s">
        <v>34</v>
      </c>
    </row>
    <row r="90" spans="1:4" x14ac:dyDescent="0.2">
      <c r="A90" s="52" t="s">
        <v>16</v>
      </c>
      <c r="B90" s="52" t="s">
        <v>141</v>
      </c>
      <c r="C90" s="53">
        <f>(5/56)</f>
        <v>8.9285714285714288E-2</v>
      </c>
      <c r="D90" s="54">
        <f>C90*D49</f>
        <v>186.48277982954548</v>
      </c>
    </row>
    <row r="91" spans="1:4" x14ac:dyDescent="0.2">
      <c r="A91" s="52" t="s">
        <v>18</v>
      </c>
      <c r="B91" s="52" t="s">
        <v>172</v>
      </c>
      <c r="C91" s="53">
        <f>(1/3)*(5/56)</f>
        <v>2.976190476190476E-2</v>
      </c>
      <c r="D91" s="54">
        <f>D49*C91</f>
        <v>62.160926609848488</v>
      </c>
    </row>
    <row r="92" spans="1:4" x14ac:dyDescent="0.2">
      <c r="A92" s="52"/>
      <c r="B92" s="52" t="s">
        <v>71</v>
      </c>
      <c r="C92" s="53"/>
      <c r="D92" s="54">
        <f>SUM(D90:D91)</f>
        <v>248.64370643939395</v>
      </c>
    </row>
    <row r="93" spans="1:4" x14ac:dyDescent="0.2">
      <c r="A93" s="52" t="s">
        <v>20</v>
      </c>
      <c r="B93" s="52" t="s">
        <v>72</v>
      </c>
      <c r="C93" s="53">
        <f>C85</f>
        <v>0.3680000000000001</v>
      </c>
      <c r="D93" s="54">
        <f>C93*D92</f>
        <v>91.500883969697</v>
      </c>
    </row>
    <row r="94" spans="1:4" ht="12" customHeight="1" x14ac:dyDescent="0.2">
      <c r="A94" s="207" t="s">
        <v>67</v>
      </c>
      <c r="B94" s="207"/>
      <c r="C94" s="163">
        <f>SUM(C90:C93)</f>
        <v>0.48704761904761917</v>
      </c>
      <c r="D94" s="74">
        <f>SUM(D92:D93)</f>
        <v>340.14459040909094</v>
      </c>
    </row>
    <row r="95" spans="1:4" x14ac:dyDescent="0.2">
      <c r="A95" s="48"/>
      <c r="B95" s="47"/>
      <c r="C95" s="49"/>
      <c r="D95" s="50"/>
    </row>
    <row r="96" spans="1:4" x14ac:dyDescent="0.2">
      <c r="A96" s="48"/>
      <c r="B96" s="47"/>
      <c r="C96" s="49"/>
      <c r="D96" s="50"/>
    </row>
    <row r="97" spans="1:7" x14ac:dyDescent="0.2">
      <c r="A97" s="48" t="s">
        <v>73</v>
      </c>
      <c r="B97" s="47"/>
      <c r="C97" s="49"/>
      <c r="D97" s="50"/>
    </row>
    <row r="98" spans="1:7" x14ac:dyDescent="0.2">
      <c r="A98" s="48"/>
      <c r="B98" s="47"/>
      <c r="C98" s="49"/>
      <c r="D98" s="50"/>
    </row>
    <row r="99" spans="1:7" ht="12" customHeight="1" x14ac:dyDescent="0.2">
      <c r="A99" s="62" t="s">
        <v>74</v>
      </c>
      <c r="B99" s="201" t="s">
        <v>75</v>
      </c>
      <c r="C99" s="201"/>
      <c r="D99" s="65" t="s">
        <v>34</v>
      </c>
    </row>
    <row r="100" spans="1:7" x14ac:dyDescent="0.2">
      <c r="A100" s="52" t="s">
        <v>16</v>
      </c>
      <c r="B100" s="52" t="s">
        <v>75</v>
      </c>
      <c r="C100" s="75">
        <v>1.37E-2</v>
      </c>
      <c r="D100" s="54">
        <f>D49*C100</f>
        <v>28.613917737045458</v>
      </c>
    </row>
    <row r="101" spans="1:7" x14ac:dyDescent="0.2">
      <c r="A101" s="52" t="s">
        <v>18</v>
      </c>
      <c r="B101" s="52" t="s">
        <v>76</v>
      </c>
      <c r="C101" s="53">
        <f>C85*C100</f>
        <v>5.041600000000002E-3</v>
      </c>
      <c r="D101" s="54">
        <f>D100*C101</f>
        <v>0.14425992766308843</v>
      </c>
    </row>
    <row r="102" spans="1:7" ht="12" customHeight="1" x14ac:dyDescent="0.2">
      <c r="A102" s="202" t="s">
        <v>67</v>
      </c>
      <c r="B102" s="202"/>
      <c r="C102" s="163">
        <f>SUM(C100:C101)</f>
        <v>1.8741600000000004E-2</v>
      </c>
      <c r="D102" s="74">
        <f>SUM(D100:D101)</f>
        <v>28.758177664708548</v>
      </c>
    </row>
    <row r="103" spans="1:7" x14ac:dyDescent="0.2">
      <c r="A103" s="48"/>
      <c r="B103" s="76"/>
      <c r="C103" s="49"/>
      <c r="D103" s="50"/>
    </row>
    <row r="104" spans="1:7" x14ac:dyDescent="0.2">
      <c r="A104" s="48" t="s">
        <v>77</v>
      </c>
      <c r="B104" s="47"/>
      <c r="C104" s="49"/>
      <c r="D104" s="50"/>
    </row>
    <row r="105" spans="1:7" x14ac:dyDescent="0.2">
      <c r="A105" s="48"/>
      <c r="B105" s="47"/>
      <c r="C105" s="49"/>
      <c r="D105" s="50"/>
    </row>
    <row r="106" spans="1:7" ht="12" customHeight="1" x14ac:dyDescent="0.2">
      <c r="A106" s="62" t="s">
        <v>78</v>
      </c>
      <c r="B106" s="201" t="s">
        <v>79</v>
      </c>
      <c r="C106" s="201"/>
      <c r="D106" s="65" t="s">
        <v>34</v>
      </c>
    </row>
    <row r="107" spans="1:7" x14ac:dyDescent="0.2">
      <c r="A107" s="52" t="s">
        <v>16</v>
      </c>
      <c r="B107" s="52" t="s">
        <v>142</v>
      </c>
      <c r="C107" s="53">
        <f xml:space="preserve"> ((1/12)* 0.05)</f>
        <v>4.1666666666666666E-3</v>
      </c>
      <c r="D107" s="54">
        <f>D49*C107</f>
        <v>8.7025297253787883</v>
      </c>
    </row>
    <row r="108" spans="1:7" ht="25.5" x14ac:dyDescent="0.2">
      <c r="A108" s="52" t="s">
        <v>18</v>
      </c>
      <c r="B108" s="52" t="s">
        <v>80</v>
      </c>
      <c r="C108" s="53">
        <f>C82*C107</f>
        <v>3.3333333333333332E-4</v>
      </c>
      <c r="D108" s="54">
        <f>D49*C108</f>
        <v>0.69620237803030305</v>
      </c>
    </row>
    <row r="109" spans="1:7" x14ac:dyDescent="0.2">
      <c r="A109" s="52" t="s">
        <v>20</v>
      </c>
      <c r="B109" s="52" t="s">
        <v>81</v>
      </c>
      <c r="C109" s="53">
        <f>0.08*0.5*0.9*(1 + 5/56+5/56+1/3*5/56)</f>
        <v>4.3499999999999997E-2</v>
      </c>
      <c r="D109" s="54">
        <f>C109*D49</f>
        <v>90.854410332954544</v>
      </c>
    </row>
    <row r="110" spans="1:7" x14ac:dyDescent="0.2">
      <c r="A110" s="52" t="s">
        <v>22</v>
      </c>
      <c r="B110" s="77" t="s">
        <v>82</v>
      </c>
      <c r="C110" s="53">
        <f xml:space="preserve"> ((7/30)/12)*0.02</f>
        <v>3.8888888888888892E-4</v>
      </c>
      <c r="D110" s="54">
        <f>D49*C110</f>
        <v>0.81223610770202037</v>
      </c>
    </row>
    <row r="111" spans="1:7" x14ac:dyDescent="0.2">
      <c r="A111" s="52" t="s">
        <v>11</v>
      </c>
      <c r="B111" s="52" t="s">
        <v>83</v>
      </c>
      <c r="C111" s="53">
        <f>C85</f>
        <v>0.3680000000000001</v>
      </c>
      <c r="D111" s="54">
        <f>D110*C85</f>
        <v>0.29890288763434358</v>
      </c>
      <c r="G111" s="78"/>
    </row>
    <row r="112" spans="1:7" x14ac:dyDescent="0.2">
      <c r="A112" s="52" t="s">
        <v>40</v>
      </c>
      <c r="B112" s="52" t="s">
        <v>84</v>
      </c>
      <c r="C112" s="53">
        <f>(40%)*C82</f>
        <v>3.2000000000000001E-2</v>
      </c>
      <c r="D112" s="54">
        <f>C112*D110</f>
        <v>2.5991555446464653E-2</v>
      </c>
    </row>
    <row r="113" spans="1:7" ht="12" customHeight="1" x14ac:dyDescent="0.2">
      <c r="A113" s="202" t="s">
        <v>67</v>
      </c>
      <c r="B113" s="202"/>
      <c r="C113" s="163">
        <f>SUM(C107:C112)</f>
        <v>0.44838888888888895</v>
      </c>
      <c r="D113" s="79">
        <f>SUM(D107:D112)</f>
        <v>101.39027298714646</v>
      </c>
    </row>
    <row r="114" spans="1:7" x14ac:dyDescent="0.2">
      <c r="A114" s="48"/>
      <c r="B114" s="47"/>
      <c r="C114" s="49"/>
      <c r="D114" s="50"/>
    </row>
    <row r="115" spans="1:7" x14ac:dyDescent="0.2">
      <c r="A115" s="48" t="s">
        <v>85</v>
      </c>
      <c r="B115" s="47"/>
      <c r="C115" s="49"/>
      <c r="D115" s="50"/>
    </row>
    <row r="116" spans="1:7" x14ac:dyDescent="0.2">
      <c r="A116" s="48"/>
      <c r="B116" s="47"/>
      <c r="C116" s="49"/>
      <c r="D116" s="50"/>
    </row>
    <row r="117" spans="1:7" ht="12" customHeight="1" x14ac:dyDescent="0.2">
      <c r="A117" s="62" t="s">
        <v>86</v>
      </c>
      <c r="B117" s="201" t="s">
        <v>87</v>
      </c>
      <c r="C117" s="201"/>
      <c r="D117" s="65" t="s">
        <v>34</v>
      </c>
    </row>
    <row r="118" spans="1:7" x14ac:dyDescent="0.2">
      <c r="A118" s="52" t="s">
        <v>16</v>
      </c>
      <c r="B118" s="52" t="s">
        <v>143</v>
      </c>
      <c r="C118" s="53">
        <f>(5/56)</f>
        <v>8.9285714285714288E-2</v>
      </c>
      <c r="D118" s="54">
        <f>D49*C118</f>
        <v>186.48277982954548</v>
      </c>
    </row>
    <row r="119" spans="1:7" x14ac:dyDescent="0.2">
      <c r="A119" s="52" t="s">
        <v>18</v>
      </c>
      <c r="B119" s="52" t="s">
        <v>144</v>
      </c>
      <c r="C119" s="53">
        <f>(5.96/30)/12</f>
        <v>1.6555555555555556E-2</v>
      </c>
      <c r="D119" s="54">
        <f>D49*C119</f>
        <v>34.57805144217172</v>
      </c>
    </row>
    <row r="120" spans="1:7" s="88" customFormat="1" x14ac:dyDescent="0.2">
      <c r="A120" s="52" t="s">
        <v>20</v>
      </c>
      <c r="B120" s="52" t="s">
        <v>145</v>
      </c>
      <c r="C120" s="53">
        <f>((5/30)/12)*0.015</f>
        <v>2.0833333333333332E-4</v>
      </c>
      <c r="D120" s="54">
        <f>D49*C120</f>
        <v>0.43512648626893941</v>
      </c>
      <c r="E120" s="80"/>
      <c r="F120" s="47"/>
      <c r="G120" s="80"/>
    </row>
    <row r="121" spans="1:7" x14ac:dyDescent="0.2">
      <c r="A121" s="52" t="s">
        <v>22</v>
      </c>
      <c r="B121" s="52" t="s">
        <v>88</v>
      </c>
      <c r="C121" s="53">
        <f>(2.96/30)*(1/12)</f>
        <v>8.222222222222221E-3</v>
      </c>
      <c r="D121" s="54">
        <f>D49*C121</f>
        <v>17.17299199141414</v>
      </c>
    </row>
    <row r="122" spans="1:7" x14ac:dyDescent="0.2">
      <c r="A122" s="52" t="s">
        <v>11</v>
      </c>
      <c r="B122" s="52" t="s">
        <v>146</v>
      </c>
      <c r="C122" s="53">
        <f xml:space="preserve"> ((15/30)/12)*0.0078</f>
        <v>3.2499999999999999E-4</v>
      </c>
      <c r="D122" s="54">
        <f>D49*C122</f>
        <v>0.67879731857954551</v>
      </c>
    </row>
    <row r="123" spans="1:7" x14ac:dyDescent="0.2">
      <c r="A123" s="52" t="s">
        <v>40</v>
      </c>
      <c r="B123" s="52" t="s">
        <v>44</v>
      </c>
      <c r="C123" s="53">
        <v>0</v>
      </c>
      <c r="D123" s="54">
        <v>0</v>
      </c>
    </row>
    <row r="124" spans="1:7" ht="12" customHeight="1" x14ac:dyDescent="0.2">
      <c r="A124" s="203" t="s">
        <v>71</v>
      </c>
      <c r="B124" s="203"/>
      <c r="C124" s="53">
        <f>SUM(C118:C123)</f>
        <v>0.11459682539682541</v>
      </c>
      <c r="D124" s="54">
        <f>SUM(D118:D123)</f>
        <v>239.34774706797981</v>
      </c>
    </row>
    <row r="125" spans="1:7" x14ac:dyDescent="0.2">
      <c r="A125" s="52" t="s">
        <v>42</v>
      </c>
      <c r="B125" s="52" t="s">
        <v>89</v>
      </c>
      <c r="C125" s="53">
        <f>C85</f>
        <v>0.3680000000000001</v>
      </c>
      <c r="D125" s="54">
        <f>D124*C125</f>
        <v>88.079970921016596</v>
      </c>
    </row>
    <row r="126" spans="1:7" ht="12" customHeight="1" x14ac:dyDescent="0.2">
      <c r="A126" s="202" t="s">
        <v>67</v>
      </c>
      <c r="B126" s="202"/>
      <c r="C126" s="163">
        <f>SUM(C124:C125)</f>
        <v>0.48259682539682552</v>
      </c>
      <c r="D126" s="74">
        <f>SUM(D124:D125)</f>
        <v>327.42771798899639</v>
      </c>
    </row>
    <row r="127" spans="1:7" x14ac:dyDescent="0.2">
      <c r="A127" s="48"/>
      <c r="B127" s="47"/>
      <c r="C127" s="49"/>
      <c r="D127" s="50"/>
    </row>
    <row r="128" spans="1:7" x14ac:dyDescent="0.2">
      <c r="A128" s="51" t="s">
        <v>90</v>
      </c>
      <c r="B128" s="47"/>
      <c r="C128" s="49"/>
      <c r="D128" s="50"/>
    </row>
    <row r="129" spans="1:4" x14ac:dyDescent="0.2">
      <c r="A129" s="48"/>
      <c r="B129" s="47"/>
      <c r="C129" s="49"/>
      <c r="D129" s="50"/>
    </row>
    <row r="130" spans="1:4" ht="12" customHeight="1" x14ac:dyDescent="0.2">
      <c r="A130" s="64">
        <v>4</v>
      </c>
      <c r="B130" s="201" t="s">
        <v>91</v>
      </c>
      <c r="C130" s="201"/>
      <c r="D130" s="65" t="s">
        <v>34</v>
      </c>
    </row>
    <row r="131" spans="1:4" x14ac:dyDescent="0.2">
      <c r="A131" s="52" t="s">
        <v>56</v>
      </c>
      <c r="B131" s="52" t="s">
        <v>92</v>
      </c>
      <c r="C131" s="53"/>
      <c r="D131" s="54">
        <f>D94</f>
        <v>340.14459040909094</v>
      </c>
    </row>
    <row r="132" spans="1:4" x14ac:dyDescent="0.2">
      <c r="A132" s="52" t="s">
        <v>69</v>
      </c>
      <c r="B132" s="52" t="s">
        <v>93</v>
      </c>
      <c r="C132" s="53"/>
      <c r="D132" s="54">
        <f>D85</f>
        <v>768.60742534545466</v>
      </c>
    </row>
    <row r="133" spans="1:4" x14ac:dyDescent="0.2">
      <c r="A133" s="52" t="s">
        <v>74</v>
      </c>
      <c r="B133" s="52" t="s">
        <v>75</v>
      </c>
      <c r="C133" s="53"/>
      <c r="D133" s="54">
        <f>D102</f>
        <v>28.758177664708548</v>
      </c>
    </row>
    <row r="134" spans="1:4" x14ac:dyDescent="0.2">
      <c r="A134" s="52" t="s">
        <v>78</v>
      </c>
      <c r="B134" s="52" t="s">
        <v>94</v>
      </c>
      <c r="C134" s="53"/>
      <c r="D134" s="54">
        <f>D113</f>
        <v>101.39027298714646</v>
      </c>
    </row>
    <row r="135" spans="1:4" x14ac:dyDescent="0.2">
      <c r="A135" s="52" t="s">
        <v>86</v>
      </c>
      <c r="B135" s="52" t="s">
        <v>95</v>
      </c>
      <c r="C135" s="53"/>
      <c r="D135" s="54">
        <f>D126</f>
        <v>327.42771798899639</v>
      </c>
    </row>
    <row r="136" spans="1:4" x14ac:dyDescent="0.2">
      <c r="A136" s="52" t="s">
        <v>96</v>
      </c>
      <c r="B136" s="52" t="s">
        <v>44</v>
      </c>
      <c r="C136" s="53"/>
      <c r="D136" s="54">
        <v>0</v>
      </c>
    </row>
    <row r="137" spans="1:4" ht="12" customHeight="1" x14ac:dyDescent="0.2">
      <c r="A137" s="204" t="s">
        <v>67</v>
      </c>
      <c r="B137" s="204"/>
      <c r="C137" s="204"/>
      <c r="D137" s="164">
        <f>SUM(D131:D136)</f>
        <v>1566.3281843953969</v>
      </c>
    </row>
    <row r="138" spans="1:4" x14ac:dyDescent="0.2">
      <c r="A138" s="48"/>
      <c r="B138" s="47"/>
      <c r="C138" s="49"/>
      <c r="D138" s="50"/>
    </row>
    <row r="139" spans="1:4" x14ac:dyDescent="0.2">
      <c r="A139" s="51" t="s">
        <v>97</v>
      </c>
      <c r="B139" s="47"/>
      <c r="C139" s="49"/>
      <c r="D139" s="50"/>
    </row>
    <row r="140" spans="1:4" x14ac:dyDescent="0.2">
      <c r="A140" s="48"/>
      <c r="B140" s="47"/>
      <c r="C140" s="49"/>
      <c r="D140" s="50"/>
    </row>
    <row r="141" spans="1:4" x14ac:dyDescent="0.2">
      <c r="A141" s="64">
        <v>5</v>
      </c>
      <c r="B141" s="62" t="s">
        <v>98</v>
      </c>
      <c r="C141" s="63" t="s">
        <v>58</v>
      </c>
      <c r="D141" s="65" t="s">
        <v>34</v>
      </c>
    </row>
    <row r="142" spans="1:4" x14ac:dyDescent="0.2">
      <c r="A142" s="52" t="s">
        <v>16</v>
      </c>
      <c r="B142" s="52" t="s">
        <v>99</v>
      </c>
      <c r="C142" s="53">
        <v>0.05</v>
      </c>
      <c r="D142" s="54">
        <f>D160*C142</f>
        <v>217.054266924232</v>
      </c>
    </row>
    <row r="143" spans="1:4" ht="12" customHeight="1" x14ac:dyDescent="0.2">
      <c r="A143" s="52" t="s">
        <v>18</v>
      </c>
      <c r="B143" s="205" t="s">
        <v>100</v>
      </c>
      <c r="C143" s="205"/>
      <c r="D143" s="205"/>
    </row>
    <row r="144" spans="1:4" ht="12" customHeight="1" x14ac:dyDescent="0.2">
      <c r="A144" s="52"/>
      <c r="B144" s="205" t="s">
        <v>101</v>
      </c>
      <c r="C144" s="205"/>
      <c r="D144" s="205"/>
    </row>
    <row r="145" spans="1:7" x14ac:dyDescent="0.2">
      <c r="A145" s="52"/>
      <c r="B145" s="52" t="s">
        <v>102</v>
      </c>
      <c r="C145" s="53">
        <v>6.4999999999999997E-3</v>
      </c>
      <c r="D145" s="54">
        <f>(D160+D142+D150)*C145</f>
        <v>31.038760170165176</v>
      </c>
    </row>
    <row r="146" spans="1:7" x14ac:dyDescent="0.2">
      <c r="A146" s="52"/>
      <c r="B146" s="52" t="s">
        <v>103</v>
      </c>
      <c r="C146" s="53">
        <v>0.03</v>
      </c>
      <c r="D146" s="54">
        <f>(D160+D142+D150)*C146</f>
        <v>143.25581616999312</v>
      </c>
    </row>
    <row r="147" spans="1:7" x14ac:dyDescent="0.2">
      <c r="A147" s="52"/>
      <c r="B147" s="52" t="s">
        <v>104</v>
      </c>
      <c r="C147" s="53">
        <v>0.05</v>
      </c>
      <c r="D147" s="54">
        <f>(D160+D142+D150)*C147</f>
        <v>238.75969361665523</v>
      </c>
    </row>
    <row r="148" spans="1:7" x14ac:dyDescent="0.2">
      <c r="A148" s="52"/>
      <c r="B148" s="52" t="s">
        <v>105</v>
      </c>
      <c r="C148" s="53"/>
      <c r="D148" s="54">
        <v>0</v>
      </c>
    </row>
    <row r="149" spans="1:7" x14ac:dyDescent="0.2">
      <c r="A149" s="52"/>
      <c r="B149" s="52" t="s">
        <v>106</v>
      </c>
      <c r="C149" s="53"/>
      <c r="D149" s="54">
        <v>0</v>
      </c>
    </row>
    <row r="150" spans="1:7" x14ac:dyDescent="0.2">
      <c r="A150" s="52" t="s">
        <v>20</v>
      </c>
      <c r="B150" s="52" t="s">
        <v>107</v>
      </c>
      <c r="C150" s="53">
        <v>0.05</v>
      </c>
      <c r="D150" s="54">
        <f>(D49+D62+D71+D137)*C150</f>
        <v>217.054266924232</v>
      </c>
      <c r="G150" s="81"/>
    </row>
    <row r="151" spans="1:7" ht="12" customHeight="1" x14ac:dyDescent="0.2">
      <c r="A151" s="199" t="s">
        <v>67</v>
      </c>
      <c r="B151" s="199"/>
      <c r="C151" s="199"/>
      <c r="D151" s="102">
        <f>SUM(D142:D150)</f>
        <v>847.16280380527758</v>
      </c>
      <c r="G151" s="81"/>
    </row>
    <row r="152" spans="1:7" x14ac:dyDescent="0.2">
      <c r="A152" s="48"/>
      <c r="B152" s="47"/>
      <c r="C152" s="49"/>
      <c r="D152" s="50"/>
    </row>
    <row r="153" spans="1:7" x14ac:dyDescent="0.2">
      <c r="A153" s="51" t="s">
        <v>108</v>
      </c>
      <c r="B153" s="47"/>
      <c r="C153" s="49"/>
      <c r="D153" s="50"/>
    </row>
    <row r="154" spans="1:7" x14ac:dyDescent="0.2">
      <c r="A154" s="51"/>
      <c r="B154" s="47"/>
      <c r="C154" s="49"/>
      <c r="D154" s="50"/>
    </row>
    <row r="155" spans="1:7" ht="12" customHeight="1" x14ac:dyDescent="0.2">
      <c r="A155" s="199" t="s">
        <v>109</v>
      </c>
      <c r="B155" s="199"/>
      <c r="C155" s="199"/>
      <c r="D155" s="82" t="s">
        <v>34</v>
      </c>
    </row>
    <row r="156" spans="1:7" x14ac:dyDescent="0.2">
      <c r="A156" s="52" t="s">
        <v>16</v>
      </c>
      <c r="B156" s="52" t="s">
        <v>110</v>
      </c>
      <c r="C156" s="53"/>
      <c r="D156" s="54">
        <f>D49</f>
        <v>2088.6071340909093</v>
      </c>
    </row>
    <row r="157" spans="1:7" x14ac:dyDescent="0.2">
      <c r="A157" s="52" t="s">
        <v>18</v>
      </c>
      <c r="B157" s="52" t="s">
        <v>111</v>
      </c>
      <c r="C157" s="53"/>
      <c r="D157" s="54">
        <f>D62</f>
        <v>558.78001999833339</v>
      </c>
    </row>
    <row r="158" spans="1:7" ht="18" customHeight="1" x14ac:dyDescent="0.2">
      <c r="A158" s="52" t="s">
        <v>20</v>
      </c>
      <c r="B158" s="52" t="s">
        <v>112</v>
      </c>
      <c r="C158" s="53"/>
      <c r="D158" s="54">
        <f>D71</f>
        <v>127.37</v>
      </c>
    </row>
    <row r="159" spans="1:7" x14ac:dyDescent="0.2">
      <c r="A159" s="52" t="s">
        <v>22</v>
      </c>
      <c r="B159" s="52" t="s">
        <v>113</v>
      </c>
      <c r="C159" s="53"/>
      <c r="D159" s="54">
        <f>D137</f>
        <v>1566.3281843953969</v>
      </c>
    </row>
    <row r="160" spans="1:7" ht="12" customHeight="1" x14ac:dyDescent="0.2">
      <c r="A160" s="199" t="s">
        <v>114</v>
      </c>
      <c r="B160" s="199"/>
      <c r="C160" s="199"/>
      <c r="D160" s="54">
        <f>SUM(D156:D159)</f>
        <v>4341.0853384846396</v>
      </c>
    </row>
    <row r="161" spans="1:7" ht="12" customHeight="1" x14ac:dyDescent="0.2">
      <c r="A161" s="52" t="s">
        <v>11</v>
      </c>
      <c r="B161" s="199" t="s">
        <v>115</v>
      </c>
      <c r="C161" s="199"/>
      <c r="D161" s="54">
        <f>D151</f>
        <v>847.16280380527758</v>
      </c>
    </row>
    <row r="162" spans="1:7" ht="12" customHeight="1" x14ac:dyDescent="0.2">
      <c r="A162" s="199" t="s">
        <v>116</v>
      </c>
      <c r="B162" s="199"/>
      <c r="C162" s="199"/>
      <c r="D162" s="82">
        <f>SUM(D160:D161)</f>
        <v>5188.2481422899173</v>
      </c>
    </row>
    <row r="163" spans="1:7" x14ac:dyDescent="0.2">
      <c r="A163" s="48"/>
      <c r="B163" s="47"/>
      <c r="C163" s="49"/>
      <c r="D163" s="50"/>
    </row>
    <row r="164" spans="1:7" x14ac:dyDescent="0.2">
      <c r="A164" s="51" t="s">
        <v>117</v>
      </c>
      <c r="B164" s="47"/>
      <c r="C164" s="49"/>
      <c r="D164" s="50"/>
    </row>
    <row r="165" spans="1:7" x14ac:dyDescent="0.2">
      <c r="A165" s="51"/>
      <c r="B165" s="47"/>
      <c r="C165" s="49"/>
      <c r="D165" s="50"/>
    </row>
    <row r="166" spans="1:7" ht="36" customHeight="1" x14ac:dyDescent="0.2">
      <c r="A166" s="199" t="s">
        <v>27</v>
      </c>
      <c r="B166" s="199"/>
      <c r="C166" s="200" t="s">
        <v>118</v>
      </c>
      <c r="D166" s="54" t="s">
        <v>119</v>
      </c>
      <c r="E166" s="52" t="s">
        <v>120</v>
      </c>
      <c r="F166" s="52" t="s">
        <v>121</v>
      </c>
      <c r="G166" s="52" t="s">
        <v>122</v>
      </c>
    </row>
    <row r="167" spans="1:7" ht="12" customHeight="1" x14ac:dyDescent="0.2">
      <c r="A167" s="199" t="s">
        <v>123</v>
      </c>
      <c r="B167" s="199"/>
      <c r="C167" s="200"/>
      <c r="D167" s="54" t="s">
        <v>124</v>
      </c>
      <c r="E167" s="52" t="s">
        <v>125</v>
      </c>
      <c r="F167" s="52" t="s">
        <v>126</v>
      </c>
      <c r="G167" s="52" t="s">
        <v>127</v>
      </c>
    </row>
    <row r="168" spans="1:7" x14ac:dyDescent="0.2">
      <c r="A168" s="52" t="s">
        <v>49</v>
      </c>
      <c r="B168" s="52" t="s">
        <v>128</v>
      </c>
      <c r="C168" s="83">
        <f>D162</f>
        <v>5188.2481422899173</v>
      </c>
      <c r="D168" s="84">
        <v>2</v>
      </c>
      <c r="E168" s="89">
        <f>ROUND(C168*D168,2)</f>
        <v>10376.5</v>
      </c>
      <c r="F168" s="52">
        <v>1</v>
      </c>
      <c r="G168" s="83">
        <f>ROUND(E168*F168,2)</f>
        <v>10376.5</v>
      </c>
    </row>
    <row r="169" spans="1:7" x14ac:dyDescent="0.2">
      <c r="A169" s="52" t="s">
        <v>129</v>
      </c>
      <c r="B169" s="52" t="s">
        <v>130</v>
      </c>
      <c r="C169" s="83"/>
      <c r="D169" s="54"/>
      <c r="E169" s="52"/>
      <c r="F169" s="52"/>
      <c r="G169" s="52"/>
    </row>
    <row r="170" spans="1:7" x14ac:dyDescent="0.2">
      <c r="A170" s="52"/>
      <c r="B170" s="52"/>
      <c r="C170" s="53"/>
      <c r="D170" s="54"/>
      <c r="E170" s="52"/>
      <c r="F170" s="52"/>
      <c r="G170" s="52"/>
    </row>
    <row r="171" spans="1:7" ht="12" customHeight="1" x14ac:dyDescent="0.2">
      <c r="A171" s="199" t="s">
        <v>132</v>
      </c>
      <c r="B171" s="199"/>
      <c r="C171" s="199"/>
      <c r="D171" s="199"/>
      <c r="E171" s="199"/>
      <c r="F171" s="199"/>
      <c r="G171" s="83">
        <f>ROUND(SUM(G168:G170),2)</f>
        <v>10376.5</v>
      </c>
    </row>
    <row r="172" spans="1:7" x14ac:dyDescent="0.2">
      <c r="A172" s="48"/>
      <c r="B172" s="47"/>
      <c r="C172" s="49"/>
      <c r="D172" s="50"/>
    </row>
    <row r="173" spans="1:7" x14ac:dyDescent="0.2">
      <c r="A173" s="51" t="s">
        <v>133</v>
      </c>
      <c r="B173" s="47"/>
      <c r="C173" s="49"/>
      <c r="D173" s="50"/>
    </row>
    <row r="174" spans="1:7" x14ac:dyDescent="0.2">
      <c r="A174" s="51"/>
      <c r="B174" s="47"/>
      <c r="C174" s="49"/>
      <c r="D174" s="50"/>
    </row>
    <row r="175" spans="1:7" ht="12" customHeight="1" x14ac:dyDescent="0.2">
      <c r="A175" s="198" t="s">
        <v>134</v>
      </c>
      <c r="B175" s="198"/>
      <c r="C175" s="198"/>
      <c r="D175" s="50"/>
    </row>
    <row r="176" spans="1:7" x14ac:dyDescent="0.2">
      <c r="A176" s="52"/>
      <c r="B176" s="52" t="s">
        <v>135</v>
      </c>
      <c r="C176" s="53" t="s">
        <v>34</v>
      </c>
      <c r="D176" s="50"/>
    </row>
    <row r="177" spans="1:4" x14ac:dyDescent="0.2">
      <c r="A177" s="52" t="s">
        <v>16</v>
      </c>
      <c r="B177" s="52" t="s">
        <v>136</v>
      </c>
      <c r="C177" s="83">
        <f>E168</f>
        <v>10376.5</v>
      </c>
      <c r="D177" s="50"/>
    </row>
    <row r="178" spans="1:4" x14ac:dyDescent="0.2">
      <c r="A178" s="52" t="s">
        <v>18</v>
      </c>
      <c r="B178" s="52" t="s">
        <v>137</v>
      </c>
      <c r="C178" s="83">
        <f>G171</f>
        <v>10376.5</v>
      </c>
      <c r="D178" s="50"/>
    </row>
    <row r="179" spans="1:4" ht="25.5" x14ac:dyDescent="0.2">
      <c r="A179" s="52" t="s">
        <v>20</v>
      </c>
      <c r="B179" s="52" t="s">
        <v>138</v>
      </c>
      <c r="C179" s="68">
        <f>ROUND(C178*12,2)</f>
        <v>124518</v>
      </c>
      <c r="D179" s="50"/>
    </row>
    <row r="180" spans="1:4" x14ac:dyDescent="0.2">
      <c r="A180" s="47"/>
      <c r="B180" s="47"/>
      <c r="C180" s="49"/>
      <c r="D180" s="50"/>
    </row>
    <row r="181" spans="1:4" x14ac:dyDescent="0.2">
      <c r="A181" s="47"/>
      <c r="B181" s="47"/>
      <c r="C181" s="49"/>
      <c r="D181" s="50"/>
    </row>
  </sheetData>
  <mergeCells count="47">
    <mergeCell ref="A26:B26"/>
    <mergeCell ref="A1:F1"/>
    <mergeCell ref="A4:F4"/>
    <mergeCell ref="A5:F5"/>
    <mergeCell ref="A6:F6"/>
    <mergeCell ref="A7:F7"/>
    <mergeCell ref="A8:E8"/>
    <mergeCell ref="A9:E9"/>
    <mergeCell ref="A10:E10"/>
    <mergeCell ref="A11:E11"/>
    <mergeCell ref="A14:E14"/>
    <mergeCell ref="A23:B23"/>
    <mergeCell ref="A102:B102"/>
    <mergeCell ref="A34:C34"/>
    <mergeCell ref="B41:C41"/>
    <mergeCell ref="A49:C49"/>
    <mergeCell ref="B53:C53"/>
    <mergeCell ref="A62:C62"/>
    <mergeCell ref="B66:C66"/>
    <mergeCell ref="A71:C71"/>
    <mergeCell ref="A85:B85"/>
    <mergeCell ref="B89:C89"/>
    <mergeCell ref="A94:B94"/>
    <mergeCell ref="B99:C99"/>
    <mergeCell ref="B67:C67"/>
    <mergeCell ref="B68:C68"/>
    <mergeCell ref="B69:C69"/>
    <mergeCell ref="B70:C70"/>
    <mergeCell ref="A160:C160"/>
    <mergeCell ref="B106:C106"/>
    <mergeCell ref="A113:B113"/>
    <mergeCell ref="B117:C117"/>
    <mergeCell ref="A124:B124"/>
    <mergeCell ref="A126:B126"/>
    <mergeCell ref="B130:C130"/>
    <mergeCell ref="A137:C137"/>
    <mergeCell ref="B143:D143"/>
    <mergeCell ref="B144:D144"/>
    <mergeCell ref="A151:C151"/>
    <mergeCell ref="A155:C155"/>
    <mergeCell ref="A175:C175"/>
    <mergeCell ref="B161:C161"/>
    <mergeCell ref="A162:C162"/>
    <mergeCell ref="A166:B166"/>
    <mergeCell ref="C166:C167"/>
    <mergeCell ref="A167:B167"/>
    <mergeCell ref="A171:F171"/>
  </mergeCells>
  <pageMargins left="0.74" right="0.17" top="0.78740157499999996" bottom="0.78740157499999996" header="0.31496062000000002" footer="0.31496062000000002"/>
  <pageSetup paperSize="9" scale="70" fitToHeight="0" orientation="portrait" r:id="rId1"/>
  <rowBreaks count="2" manualBreakCount="2">
    <brk id="50" max="6" man="1"/>
    <brk id="127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C1" zoomScaleNormal="100" workbookViewId="0">
      <selection activeCell="F10" sqref="F10"/>
    </sheetView>
  </sheetViews>
  <sheetFormatPr defaultRowHeight="15" x14ac:dyDescent="0.25"/>
  <cols>
    <col min="1" max="1" width="22.85546875" style="1" hidden="1" customWidth="1"/>
    <col min="2" max="2" width="10.140625" style="2" hidden="1" customWidth="1"/>
    <col min="3" max="3" width="9.140625" style="1" customWidth="1"/>
    <col min="4" max="4" width="9.140625" style="1"/>
    <col min="5" max="5" width="26.140625" style="1" customWidth="1"/>
    <col min="6" max="6" width="9.28515625" style="1" customWidth="1"/>
    <col min="7" max="7" width="18.140625" style="1" customWidth="1"/>
    <col min="8" max="8" width="17.7109375" style="1" customWidth="1"/>
    <col min="9" max="16384" width="9.140625" style="1"/>
  </cols>
  <sheetData>
    <row r="1" spans="1:8" ht="15.75" thickBot="1" x14ac:dyDescent="0.3">
      <c r="E1" s="210" t="s">
        <v>208</v>
      </c>
      <c r="F1" s="211"/>
      <c r="G1" s="211"/>
      <c r="H1" s="212"/>
    </row>
    <row r="2" spans="1:8" x14ac:dyDescent="0.25">
      <c r="E2" s="171"/>
      <c r="F2" s="172"/>
      <c r="G2" s="172"/>
      <c r="H2" s="173"/>
    </row>
    <row r="3" spans="1:8" x14ac:dyDescent="0.25">
      <c r="E3" s="6" t="s">
        <v>233</v>
      </c>
      <c r="F3" s="15" t="s">
        <v>153</v>
      </c>
      <c r="G3" s="15" t="s">
        <v>159</v>
      </c>
      <c r="H3" s="7" t="s">
        <v>160</v>
      </c>
    </row>
    <row r="4" spans="1:8" x14ac:dyDescent="0.25">
      <c r="A4" s="1" t="s">
        <v>147</v>
      </c>
      <c r="B4" s="2" t="s">
        <v>152</v>
      </c>
      <c r="E4" s="8"/>
      <c r="F4" s="14"/>
      <c r="G4" s="14"/>
      <c r="H4" s="9"/>
    </row>
    <row r="5" spans="1:8" x14ac:dyDescent="0.25">
      <c r="A5" s="3" t="s">
        <v>148</v>
      </c>
      <c r="B5" s="2">
        <f>38.82*1.0644</f>
        <v>41.320008000000001</v>
      </c>
      <c r="E5" s="10" t="s">
        <v>147</v>
      </c>
      <c r="F5" s="14">
        <v>2</v>
      </c>
      <c r="G5" s="17">
        <v>96.708079999999995</v>
      </c>
      <c r="H5" s="11">
        <f>F5*G5</f>
        <v>193.41615999999999</v>
      </c>
    </row>
    <row r="6" spans="1:8" x14ac:dyDescent="0.25">
      <c r="A6" s="3" t="s">
        <v>149</v>
      </c>
      <c r="B6" s="2">
        <f>49*1.0644</f>
        <v>52.1556</v>
      </c>
      <c r="E6" s="10" t="s">
        <v>155</v>
      </c>
      <c r="F6" s="14">
        <v>4</v>
      </c>
      <c r="G6" s="17">
        <v>96.708079999999995</v>
      </c>
      <c r="H6" s="11">
        <f>F6*G6</f>
        <v>386.83231999999998</v>
      </c>
    </row>
    <row r="7" spans="1:8" x14ac:dyDescent="0.25">
      <c r="A7" s="3" t="s">
        <v>150</v>
      </c>
      <c r="B7" s="2">
        <f>59.9*1.0644</f>
        <v>63.757559999999998</v>
      </c>
      <c r="E7" s="10" t="s">
        <v>207</v>
      </c>
      <c r="F7" s="14">
        <v>2</v>
      </c>
      <c r="G7" s="18">
        <v>24.64847189</v>
      </c>
      <c r="H7" s="11">
        <f>F7*G7</f>
        <v>49.296943779999999</v>
      </c>
    </row>
    <row r="8" spans="1:8" x14ac:dyDescent="0.25">
      <c r="A8" s="3"/>
      <c r="E8" s="10" t="s">
        <v>156</v>
      </c>
      <c r="F8" s="14">
        <v>4</v>
      </c>
      <c r="G8" s="18">
        <v>18.132764999999999</v>
      </c>
      <c r="H8" s="11">
        <f>F8*G8</f>
        <v>72.531059999999997</v>
      </c>
    </row>
    <row r="9" spans="1:8" x14ac:dyDescent="0.25">
      <c r="A9" s="3"/>
      <c r="E9" s="10" t="s">
        <v>209</v>
      </c>
      <c r="F9" s="14">
        <v>1</v>
      </c>
      <c r="G9" s="18">
        <v>145.06211999999999</v>
      </c>
      <c r="H9" s="11">
        <f>F9*G9</f>
        <v>145.06211999999999</v>
      </c>
    </row>
    <row r="10" spans="1:8" x14ac:dyDescent="0.25">
      <c r="A10" s="3"/>
      <c r="E10" s="10"/>
      <c r="F10" s="14"/>
      <c r="G10" s="18"/>
      <c r="H10" s="11"/>
    </row>
    <row r="11" spans="1:8" x14ac:dyDescent="0.25">
      <c r="A11" s="3"/>
      <c r="E11" s="10"/>
      <c r="F11" s="14"/>
      <c r="G11" s="18"/>
      <c r="H11" s="11"/>
    </row>
    <row r="12" spans="1:8" x14ac:dyDescent="0.25">
      <c r="A12" s="3"/>
      <c r="E12" s="10"/>
      <c r="F12" s="14"/>
      <c r="G12" s="18"/>
      <c r="H12" s="11"/>
    </row>
    <row r="13" spans="1:8" x14ac:dyDescent="0.25">
      <c r="A13" s="3"/>
      <c r="E13" s="10"/>
      <c r="F13" s="14"/>
      <c r="G13" s="18"/>
      <c r="H13" s="11"/>
    </row>
    <row r="14" spans="1:8" x14ac:dyDescent="0.25">
      <c r="A14" s="3"/>
      <c r="E14" s="10"/>
      <c r="F14" s="14"/>
      <c r="G14" s="18"/>
      <c r="H14" s="11"/>
    </row>
    <row r="15" spans="1:8" x14ac:dyDescent="0.25">
      <c r="A15" s="3" t="s">
        <v>154</v>
      </c>
      <c r="B15" s="5" t="e">
        <f>ROUND(AVERAGE(#REF!),2)</f>
        <v>#REF!</v>
      </c>
      <c r="E15" s="8"/>
      <c r="F15" s="14"/>
      <c r="G15" s="19" t="s">
        <v>162</v>
      </c>
      <c r="H15" s="11">
        <f>SUM(H5:H14)</f>
        <v>847.13860378000004</v>
      </c>
    </row>
    <row r="16" spans="1:8" x14ac:dyDescent="0.25">
      <c r="E16" s="8"/>
      <c r="F16" s="14"/>
      <c r="G16" s="20" t="s">
        <v>161</v>
      </c>
      <c r="H16" s="12">
        <f>ROUND(H15/12,2)</f>
        <v>70.59</v>
      </c>
    </row>
    <row r="17" spans="1:8" x14ac:dyDescent="0.25">
      <c r="A17" s="3" t="s">
        <v>156</v>
      </c>
      <c r="B17" s="2" t="s">
        <v>152</v>
      </c>
      <c r="E17" s="8"/>
      <c r="F17" s="14"/>
      <c r="G17" s="14"/>
      <c r="H17" s="9"/>
    </row>
    <row r="18" spans="1:8" x14ac:dyDescent="0.25">
      <c r="A18" s="3" t="s">
        <v>148</v>
      </c>
      <c r="B18" s="2">
        <f>4.84*1.0644</f>
        <v>5.1516960000000003</v>
      </c>
      <c r="E18" s="8"/>
      <c r="F18" s="14"/>
      <c r="G18" s="14"/>
      <c r="H18" s="9"/>
    </row>
    <row r="19" spans="1:8" ht="15.75" thickBot="1" x14ac:dyDescent="0.3">
      <c r="A19" s="3" t="s">
        <v>149</v>
      </c>
      <c r="B19" s="2">
        <f>7.5*1.0644</f>
        <v>7.9830000000000005</v>
      </c>
      <c r="E19" s="22" t="s">
        <v>163</v>
      </c>
      <c r="F19" s="16"/>
      <c r="G19" s="21">
        <f>H16</f>
        <v>70.59</v>
      </c>
      <c r="H19" s="13"/>
    </row>
    <row r="20" spans="1:8" x14ac:dyDescent="0.25">
      <c r="A20" s="3" t="s">
        <v>154</v>
      </c>
      <c r="B20" s="4">
        <f>ROUND(AVERAGE(B18:B19),2)</f>
        <v>6.57</v>
      </c>
    </row>
    <row r="22" spans="1:8" x14ac:dyDescent="0.25">
      <c r="A22" s="3" t="s">
        <v>157</v>
      </c>
      <c r="B22" s="2" t="s">
        <v>152</v>
      </c>
    </row>
    <row r="23" spans="1:8" x14ac:dyDescent="0.25">
      <c r="A23" s="3" t="s">
        <v>148</v>
      </c>
      <c r="B23" s="2">
        <f>35.9*1.0644</f>
        <v>38.211959999999998</v>
      </c>
    </row>
    <row r="24" spans="1:8" x14ac:dyDescent="0.25">
      <c r="A24" s="3" t="s">
        <v>149</v>
      </c>
      <c r="B24" s="2">
        <f>19.99*1.0644</f>
        <v>21.277355999999997</v>
      </c>
    </row>
    <row r="25" spans="1:8" x14ac:dyDescent="0.25">
      <c r="A25" s="3" t="s">
        <v>150</v>
      </c>
      <c r="B25" s="2">
        <f>27*1.0644</f>
        <v>28.738800000000001</v>
      </c>
    </row>
    <row r="26" spans="1:8" x14ac:dyDescent="0.25">
      <c r="A26" s="3" t="s">
        <v>154</v>
      </c>
      <c r="B26" s="4">
        <f>ROUND(AVERAGE(B23:B25),2)</f>
        <v>29.41</v>
      </c>
    </row>
    <row r="28" spans="1:8" x14ac:dyDescent="0.25">
      <c r="A28" s="3" t="s">
        <v>158</v>
      </c>
      <c r="B28" s="2" t="s">
        <v>152</v>
      </c>
    </row>
    <row r="29" spans="1:8" x14ac:dyDescent="0.25">
      <c r="A29" s="3" t="s">
        <v>148</v>
      </c>
      <c r="B29" s="2">
        <f>59.9*1.0644</f>
        <v>63.757559999999998</v>
      </c>
    </row>
    <row r="30" spans="1:8" x14ac:dyDescent="0.25">
      <c r="A30" s="3" t="s">
        <v>149</v>
      </c>
      <c r="B30" s="2">
        <f>34.9*1.0644</f>
        <v>37.147559999999999</v>
      </c>
    </row>
    <row r="31" spans="1:8" x14ac:dyDescent="0.25">
      <c r="A31" s="3" t="s">
        <v>150</v>
      </c>
      <c r="B31" s="2">
        <f>57*1.0644</f>
        <v>60.6708</v>
      </c>
    </row>
    <row r="32" spans="1:8" x14ac:dyDescent="0.25">
      <c r="A32" s="3" t="s">
        <v>151</v>
      </c>
      <c r="B32" s="2">
        <f>44.41*1.0644</f>
        <v>47.270004</v>
      </c>
    </row>
    <row r="33" spans="1:2" x14ac:dyDescent="0.25">
      <c r="A33" s="3" t="s">
        <v>154</v>
      </c>
      <c r="B33" s="4">
        <f>ROUND(AVERAGE(B29:B32),2)</f>
        <v>52.21</v>
      </c>
    </row>
  </sheetData>
  <mergeCells count="1">
    <mergeCell ref="E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workbookViewId="0">
      <selection activeCell="F28" sqref="F28"/>
    </sheetView>
  </sheetViews>
  <sheetFormatPr defaultRowHeight="15" x14ac:dyDescent="0.25"/>
  <cols>
    <col min="1" max="1" width="9.140625" style="1"/>
    <col min="2" max="2" width="20.7109375" style="1" bestFit="1" customWidth="1"/>
    <col min="3" max="3" width="10.140625" style="1" bestFit="1" customWidth="1"/>
    <col min="4" max="4" width="9.140625" style="1"/>
    <col min="5" max="5" width="17.85546875" style="1" customWidth="1"/>
    <col min="6" max="16384" width="9.140625" style="1"/>
  </cols>
  <sheetData>
    <row r="1" spans="2:9" x14ac:dyDescent="0.25">
      <c r="I1" s="170"/>
    </row>
    <row r="2" spans="2:9" x14ac:dyDescent="0.25">
      <c r="I2" s="170"/>
    </row>
    <row r="3" spans="2:9" x14ac:dyDescent="0.25">
      <c r="E3" s="169"/>
    </row>
    <row r="5" spans="2:9" x14ac:dyDescent="0.25">
      <c r="B5" s="1" t="s">
        <v>164</v>
      </c>
      <c r="C5" s="2" t="s">
        <v>152</v>
      </c>
    </row>
    <row r="6" spans="2:9" x14ac:dyDescent="0.25">
      <c r="B6" s="3" t="s">
        <v>148</v>
      </c>
      <c r="C6" s="2">
        <v>386.83231999999998</v>
      </c>
    </row>
    <row r="7" spans="2:9" x14ac:dyDescent="0.25">
      <c r="B7" s="3" t="s">
        <v>149</v>
      </c>
      <c r="C7" s="2">
        <v>338.47827999999998</v>
      </c>
    </row>
    <row r="8" spans="2:9" x14ac:dyDescent="0.25">
      <c r="B8" s="3" t="s">
        <v>150</v>
      </c>
      <c r="C8" s="2">
        <v>350.56678999999997</v>
      </c>
    </row>
    <row r="9" spans="2:9" x14ac:dyDescent="0.25">
      <c r="B9" s="3" t="s">
        <v>154</v>
      </c>
      <c r="C9" s="5">
        <f>ROUND(AVERAGE(C6:C8),2)</f>
        <v>358.63</v>
      </c>
      <c r="D9" s="5"/>
    </row>
    <row r="12" spans="2:9" x14ac:dyDescent="0.25">
      <c r="B12" s="1" t="s">
        <v>165</v>
      </c>
      <c r="C12" s="2" t="s">
        <v>152</v>
      </c>
    </row>
    <row r="13" spans="2:9" x14ac:dyDescent="0.25">
      <c r="B13" s="3" t="s">
        <v>148</v>
      </c>
      <c r="C13" s="2">
        <v>30.221274999999999</v>
      </c>
    </row>
    <row r="14" spans="2:9" x14ac:dyDescent="0.25">
      <c r="B14" s="3" t="s">
        <v>149</v>
      </c>
      <c r="C14" s="2">
        <v>29.012423999999996</v>
      </c>
    </row>
    <row r="15" spans="2:9" x14ac:dyDescent="0.25">
      <c r="B15" s="3" t="s">
        <v>150</v>
      </c>
      <c r="C15" s="2">
        <v>27.803572999999997</v>
      </c>
    </row>
    <row r="16" spans="2:9" x14ac:dyDescent="0.25">
      <c r="B16" s="3" t="s">
        <v>151</v>
      </c>
      <c r="C16" s="2">
        <v>31.430125999999998</v>
      </c>
    </row>
    <row r="17" spans="2:8" x14ac:dyDescent="0.25">
      <c r="B17" s="3" t="s">
        <v>154</v>
      </c>
      <c r="C17" s="5">
        <f>ROUND(AVERAGE(C13:C16),2)</f>
        <v>29.62</v>
      </c>
      <c r="D17" s="5"/>
    </row>
    <row r="20" spans="2:8" x14ac:dyDescent="0.25">
      <c r="F20" s="4">
        <f>ROUND(C9+C17,2)</f>
        <v>388.25</v>
      </c>
      <c r="G20" s="4"/>
    </row>
    <row r="21" spans="2:8" x14ac:dyDescent="0.25">
      <c r="D21" s="213" t="s">
        <v>210</v>
      </c>
      <c r="E21" s="213"/>
      <c r="F21" s="4">
        <f>ROUND((F20/60),2)</f>
        <v>6.47</v>
      </c>
      <c r="G21" s="4"/>
      <c r="H21" s="4"/>
    </row>
    <row r="22" spans="2:8" x14ac:dyDescent="0.25">
      <c r="D22" s="214"/>
      <c r="E22" s="214"/>
      <c r="F22" s="160"/>
    </row>
  </sheetData>
  <mergeCells count="2">
    <mergeCell ref="D21:E21"/>
    <mergeCell ref="D22:E2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zoomScaleNormal="100" workbookViewId="0">
      <selection activeCell="I22" sqref="I22"/>
    </sheetView>
  </sheetViews>
  <sheetFormatPr defaultRowHeight="15" x14ac:dyDescent="0.25"/>
  <cols>
    <col min="1" max="1" width="9.140625" style="1"/>
    <col min="2" max="2" width="20.7109375" style="1" bestFit="1" customWidth="1"/>
    <col min="3" max="3" width="13.28515625" style="1" customWidth="1"/>
    <col min="4" max="4" width="14.7109375" style="1" customWidth="1"/>
    <col min="5" max="5" width="40.28515625" style="1" customWidth="1"/>
    <col min="6" max="16384" width="9.140625" style="1"/>
  </cols>
  <sheetData>
    <row r="1" spans="2:6" x14ac:dyDescent="0.25">
      <c r="F1" s="170"/>
    </row>
    <row r="2" spans="2:6" x14ac:dyDescent="0.25">
      <c r="F2" s="170"/>
    </row>
    <row r="3" spans="2:6" x14ac:dyDescent="0.25">
      <c r="B3" s="1" t="s">
        <v>166</v>
      </c>
      <c r="C3" s="2" t="s">
        <v>152</v>
      </c>
      <c r="D3" s="169"/>
    </row>
    <row r="4" spans="2:6" x14ac:dyDescent="0.25">
      <c r="B4" s="3" t="s">
        <v>148</v>
      </c>
      <c r="C4" s="2">
        <v>2659.4721999999997</v>
      </c>
      <c r="D4" s="2"/>
    </row>
    <row r="5" spans="2:6" x14ac:dyDescent="0.25">
      <c r="B5" s="3" t="s">
        <v>149</v>
      </c>
      <c r="C5" s="2">
        <v>2901.2423999999996</v>
      </c>
      <c r="D5" s="2"/>
    </row>
    <row r="6" spans="2:6" x14ac:dyDescent="0.25">
      <c r="B6" s="3" t="s">
        <v>150</v>
      </c>
      <c r="C6" s="2">
        <v>2659.4721999999997</v>
      </c>
      <c r="D6" s="2"/>
    </row>
    <row r="7" spans="2:6" x14ac:dyDescent="0.25">
      <c r="B7" s="3" t="s">
        <v>151</v>
      </c>
      <c r="C7" s="2">
        <v>2901.2423999999996</v>
      </c>
      <c r="D7" s="2"/>
    </row>
    <row r="8" spans="2:6" x14ac:dyDescent="0.25">
      <c r="B8" s="3" t="s">
        <v>154</v>
      </c>
      <c r="C8" s="5">
        <f>ROUND(AVERAGE(C4:C7),2)</f>
        <v>2780.36</v>
      </c>
      <c r="D8" s="5"/>
      <c r="E8" s="1" t="s">
        <v>171</v>
      </c>
      <c r="F8" s="23">
        <f>ROUND((C8+C15+C23+C30+C38)/60,2)</f>
        <v>50.31</v>
      </c>
    </row>
    <row r="9" spans="2:6" x14ac:dyDescent="0.25">
      <c r="E9" s="160"/>
      <c r="F9" s="160"/>
    </row>
    <row r="11" spans="2:6" x14ac:dyDescent="0.25">
      <c r="B11" s="3" t="s">
        <v>167</v>
      </c>
      <c r="C11" s="2" t="s">
        <v>152</v>
      </c>
      <c r="D11" s="2"/>
    </row>
    <row r="12" spans="2:6" x14ac:dyDescent="0.25">
      <c r="B12" s="3" t="s">
        <v>148</v>
      </c>
      <c r="C12" s="2">
        <v>94.29037799999999</v>
      </c>
      <c r="D12" s="2"/>
    </row>
    <row r="13" spans="2:6" x14ac:dyDescent="0.25">
      <c r="B13" s="3" t="s">
        <v>149</v>
      </c>
      <c r="C13" s="2">
        <v>90.663824999999989</v>
      </c>
      <c r="D13" s="2"/>
    </row>
    <row r="14" spans="2:6" x14ac:dyDescent="0.25">
      <c r="B14" s="3" t="s">
        <v>150</v>
      </c>
      <c r="C14" s="2">
        <v>89.454973999999993</v>
      </c>
      <c r="D14" s="2"/>
    </row>
    <row r="15" spans="2:6" x14ac:dyDescent="0.25">
      <c r="B15" s="3" t="s">
        <v>154</v>
      </c>
      <c r="C15" s="5">
        <f>ROUND(AVERAGE(C12:C14),2)</f>
        <v>91.47</v>
      </c>
      <c r="D15" s="5"/>
    </row>
    <row r="18" spans="2:4" x14ac:dyDescent="0.25">
      <c r="B18" s="3" t="s">
        <v>168</v>
      </c>
      <c r="C18" s="2" t="s">
        <v>152</v>
      </c>
      <c r="D18" s="2"/>
    </row>
    <row r="19" spans="2:4" x14ac:dyDescent="0.25">
      <c r="B19" s="3" t="s">
        <v>148</v>
      </c>
      <c r="C19" s="2">
        <v>18.528494463359998</v>
      </c>
      <c r="D19" s="2"/>
    </row>
    <row r="20" spans="2:4" x14ac:dyDescent="0.25">
      <c r="B20" s="3" t="s">
        <v>149</v>
      </c>
      <c r="C20" s="2">
        <v>29.182378779791996</v>
      </c>
      <c r="D20" s="2"/>
    </row>
    <row r="21" spans="2:4" x14ac:dyDescent="0.25">
      <c r="B21" s="3" t="s">
        <v>150</v>
      </c>
      <c r="C21" s="2">
        <v>30.726419985071992</v>
      </c>
      <c r="D21" s="2"/>
    </row>
    <row r="22" spans="2:4" x14ac:dyDescent="0.25">
      <c r="B22" s="3" t="s">
        <v>151</v>
      </c>
      <c r="C22" s="2">
        <v>18.528494463359998</v>
      </c>
      <c r="D22" s="2"/>
    </row>
    <row r="23" spans="2:4" x14ac:dyDescent="0.25">
      <c r="B23" s="3" t="s">
        <v>154</v>
      </c>
      <c r="C23" s="5">
        <f>ROUND(AVERAGE(C19:C22),2)</f>
        <v>24.24</v>
      </c>
      <c r="D23" s="5"/>
    </row>
    <row r="26" spans="2:4" x14ac:dyDescent="0.25">
      <c r="B26" s="3" t="s">
        <v>169</v>
      </c>
      <c r="C26" s="2" t="s">
        <v>152</v>
      </c>
      <c r="D26" s="2"/>
    </row>
    <row r="27" spans="2:4" x14ac:dyDescent="0.25">
      <c r="B27" s="3" t="s">
        <v>148</v>
      </c>
      <c r="C27" s="2">
        <v>84.619569999999996</v>
      </c>
      <c r="D27" s="2"/>
    </row>
    <row r="28" spans="2:4" x14ac:dyDescent="0.25">
      <c r="B28" s="3" t="s">
        <v>149</v>
      </c>
      <c r="C28" s="2">
        <v>50.181339171599994</v>
      </c>
      <c r="D28" s="2"/>
    </row>
    <row r="29" spans="2:4" x14ac:dyDescent="0.25">
      <c r="B29" s="3" t="s">
        <v>150</v>
      </c>
      <c r="C29" s="2">
        <v>55.585483390079993</v>
      </c>
      <c r="D29" s="2"/>
    </row>
    <row r="30" spans="2:4" x14ac:dyDescent="0.25">
      <c r="B30" s="3" t="s">
        <v>154</v>
      </c>
      <c r="C30" s="5">
        <f>ROUND(AVERAGE(C26:C29),2)</f>
        <v>63.46</v>
      </c>
      <c r="D30" s="5"/>
    </row>
    <row r="33" spans="2:4" x14ac:dyDescent="0.25">
      <c r="B33" s="3" t="s">
        <v>170</v>
      </c>
      <c r="C33" s="2" t="s">
        <v>152</v>
      </c>
      <c r="D33" s="2"/>
    </row>
    <row r="34" spans="2:4" x14ac:dyDescent="0.25">
      <c r="B34" s="3" t="s">
        <v>148</v>
      </c>
      <c r="C34" s="2">
        <v>54.398294999999997</v>
      </c>
      <c r="D34" s="2"/>
    </row>
    <row r="35" spans="2:4" x14ac:dyDescent="0.25">
      <c r="B35" s="3" t="s">
        <v>149</v>
      </c>
      <c r="C35" s="2">
        <v>58.024847999999992</v>
      </c>
      <c r="D35" s="2"/>
    </row>
    <row r="36" spans="2:4" x14ac:dyDescent="0.25">
      <c r="B36" s="3" t="s">
        <v>150</v>
      </c>
      <c r="C36" s="2">
        <v>59.233698999999994</v>
      </c>
      <c r="D36" s="2"/>
    </row>
    <row r="37" spans="2:4" x14ac:dyDescent="0.25">
      <c r="B37" s="3" t="s">
        <v>151</v>
      </c>
      <c r="C37" s="2">
        <v>64.069102999999998</v>
      </c>
      <c r="D37" s="2"/>
    </row>
    <row r="38" spans="2:4" x14ac:dyDescent="0.25">
      <c r="B38" s="3" t="s">
        <v>154</v>
      </c>
      <c r="C38" s="5">
        <f>ROUND(AVERAGE(C34:C37),2)</f>
        <v>58.93</v>
      </c>
      <c r="D38" s="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workbookViewId="0">
      <selection activeCell="L31" sqref="L31"/>
    </sheetView>
  </sheetViews>
  <sheetFormatPr defaultRowHeight="15" x14ac:dyDescent="0.25"/>
  <cols>
    <col min="1" max="2" width="9.140625" style="1"/>
    <col min="3" max="3" width="17.42578125" style="1" bestFit="1" customWidth="1"/>
    <col min="4" max="16384" width="9.140625" style="1"/>
  </cols>
  <sheetData>
    <row r="1" spans="2:8" ht="15.75" thickBot="1" x14ac:dyDescent="0.3">
      <c r="B1" s="215"/>
      <c r="C1" s="215"/>
      <c r="D1" s="215"/>
      <c r="E1" s="215"/>
      <c r="F1" s="215"/>
      <c r="G1" s="215"/>
      <c r="H1" s="215"/>
    </row>
    <row r="2" spans="2:8" ht="15.75" thickBot="1" x14ac:dyDescent="0.3">
      <c r="B2" s="216" t="s">
        <v>190</v>
      </c>
      <c r="C2" s="217"/>
      <c r="D2" s="217"/>
      <c r="E2" s="217"/>
      <c r="F2" s="217"/>
      <c r="G2" s="217"/>
      <c r="H2" s="218"/>
    </row>
    <row r="3" spans="2:8" s="31" customFormat="1" ht="21" customHeight="1" thickBot="1" x14ac:dyDescent="0.3">
      <c r="B3" s="24" t="s">
        <v>3</v>
      </c>
      <c r="C3" s="28" t="s">
        <v>135</v>
      </c>
      <c r="D3" s="28" t="s">
        <v>191</v>
      </c>
      <c r="E3" s="28" t="s">
        <v>192</v>
      </c>
      <c r="F3" s="28" t="s">
        <v>193</v>
      </c>
      <c r="G3" s="29" t="s">
        <v>194</v>
      </c>
      <c r="H3" s="30"/>
    </row>
    <row r="4" spans="2:8" s="31" customFormat="1" ht="21" customHeight="1" x14ac:dyDescent="0.25">
      <c r="B4" s="25">
        <v>11</v>
      </c>
      <c r="C4" s="32" t="s">
        <v>195</v>
      </c>
      <c r="D4" s="33">
        <v>1.5</v>
      </c>
      <c r="E4" s="34">
        <v>54.398294999999997</v>
      </c>
      <c r="F4" s="35">
        <f>E4*D4/G4</f>
        <v>6.7997868749999997</v>
      </c>
      <c r="G4" s="36">
        <v>12</v>
      </c>
      <c r="H4" s="37" t="s">
        <v>196</v>
      </c>
    </row>
    <row r="5" spans="2:8" s="31" customFormat="1" ht="21" customHeight="1" x14ac:dyDescent="0.25">
      <c r="B5" s="25">
        <v>13</v>
      </c>
      <c r="C5" s="32" t="s">
        <v>197</v>
      </c>
      <c r="D5" s="33">
        <v>1</v>
      </c>
      <c r="E5" s="34">
        <v>169.23913999999999</v>
      </c>
      <c r="F5" s="35">
        <f>E5*D5/G5</f>
        <v>14.103261666666667</v>
      </c>
      <c r="G5" s="36">
        <v>12</v>
      </c>
      <c r="H5" s="37" t="s">
        <v>196</v>
      </c>
    </row>
    <row r="6" spans="2:8" s="31" customFormat="1" ht="21" customHeight="1" thickBot="1" x14ac:dyDescent="0.3">
      <c r="B6" s="26">
        <v>15</v>
      </c>
      <c r="C6" s="38" t="s">
        <v>198</v>
      </c>
      <c r="D6" s="39">
        <v>1</v>
      </c>
      <c r="E6" s="40">
        <v>96.708079999999995</v>
      </c>
      <c r="F6" s="35">
        <f>E6*D6/G6</f>
        <v>8.0590066666666669</v>
      </c>
      <c r="G6" s="41">
        <v>12</v>
      </c>
      <c r="H6" s="42" t="s">
        <v>196</v>
      </c>
    </row>
    <row r="7" spans="2:8" s="31" customFormat="1" ht="21" customHeight="1" thickBot="1" x14ac:dyDescent="0.3">
      <c r="B7" s="27"/>
      <c r="C7" s="43" t="s">
        <v>67</v>
      </c>
      <c r="D7" s="44"/>
      <c r="E7" s="45" t="s">
        <v>199</v>
      </c>
      <c r="F7" s="45">
        <f>SUM(F4:F6)</f>
        <v>28.962055208333332</v>
      </c>
      <c r="G7" s="45"/>
      <c r="H7" s="46"/>
    </row>
    <row r="8" spans="2:8" x14ac:dyDescent="0.25">
      <c r="E8" s="160"/>
      <c r="F8" s="160"/>
    </row>
    <row r="10" spans="2:8" x14ac:dyDescent="0.25">
      <c r="B10" s="219" t="s">
        <v>224</v>
      </c>
      <c r="C10" s="219"/>
      <c r="D10" s="175">
        <v>115.80792579999999</v>
      </c>
      <c r="E10" s="176"/>
    </row>
    <row r="12" spans="2:8" x14ac:dyDescent="0.25">
      <c r="B12" s="219" t="s">
        <v>232</v>
      </c>
      <c r="C12" s="219"/>
      <c r="D12" s="174">
        <v>3.01003899</v>
      </c>
      <c r="E12" s="176"/>
    </row>
  </sheetData>
  <mergeCells count="4">
    <mergeCell ref="B1:H1"/>
    <mergeCell ref="B2:H2"/>
    <mergeCell ref="B10:C10"/>
    <mergeCell ref="B12:C1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3</vt:i4>
      </vt:variant>
    </vt:vector>
  </HeadingPairs>
  <TitlesOfParts>
    <vt:vector size="10" baseType="lpstr">
      <vt:lpstr>Anexo II-Planilha Custos Totais</vt:lpstr>
      <vt:lpstr>Anexo III - Posto Diurno</vt:lpstr>
      <vt:lpstr>Anexo III - Posto Noturno</vt:lpstr>
      <vt:lpstr>Uniforme</vt:lpstr>
      <vt:lpstr>Material</vt:lpstr>
      <vt:lpstr>Equipamento</vt:lpstr>
      <vt:lpstr>Exames e Plano de Saúde</vt:lpstr>
      <vt:lpstr>'Anexo III - Posto Diurno'!Área_de_Impressão</vt:lpstr>
      <vt:lpstr>'Anexo III - Posto Noturno'!Área_de_Impressão</vt:lpstr>
      <vt:lpstr>'Anexo II-Planilha Custos Totais'!Área_de_Impressão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Talge Ferreira</dc:creator>
  <cp:lastModifiedBy>Giselia Santos Melo</cp:lastModifiedBy>
  <cp:revision>0</cp:revision>
  <cp:lastPrinted>2017-07-06T21:47:08Z</cp:lastPrinted>
  <dcterms:created xsi:type="dcterms:W3CDTF">2012-09-26T13:09:57Z</dcterms:created>
  <dcterms:modified xsi:type="dcterms:W3CDTF">2021-10-21T19:40:49Z</dcterms:modified>
</cp:coreProperties>
</file>