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ago.melo\Desktop\"/>
    </mc:Choice>
  </mc:AlternateContent>
  <bookViews>
    <workbookView xWindow="0" yWindow="0" windowWidth="25200" windowHeight="11385" tabRatio="774"/>
  </bookViews>
  <sheets>
    <sheet name="Anexo IV - Planilha Custos" sheetId="11" r:id="rId1"/>
    <sheet name="Posto Diurno" sheetId="7" r:id="rId2"/>
    <sheet name="Posto Noturno" sheetId="13" r:id="rId3"/>
    <sheet name="Insumos" sheetId="3" r:id="rId4"/>
    <sheet name="Plan1" sheetId="14" state="hidden" r:id="rId5"/>
  </sheets>
  <definedNames>
    <definedName name="_xlnm.Print_Area" localSheetId="0">'Anexo IV - Planilha Custos'!$A$1:$E$18</definedName>
    <definedName name="_xlnm.Print_Area" localSheetId="3">Insumos!$A$1:$H$29</definedName>
    <definedName name="_xlnm.Print_Area" localSheetId="1">'Posto Diurno'!$A$1:$I$149</definedName>
    <definedName name="_xlnm.Print_Area" localSheetId="2">'Posto Noturno'!$A$1:$I$149</definedName>
  </definedNames>
  <calcPr calcId="152511"/>
</workbook>
</file>

<file path=xl/calcChain.xml><?xml version="1.0" encoding="utf-8"?>
<calcChain xmlns="http://schemas.openxmlformats.org/spreadsheetml/2006/main">
  <c r="G76" i="14" l="1"/>
  <c r="G75" i="14"/>
  <c r="G74" i="14"/>
  <c r="G73" i="14"/>
  <c r="G77" i="14" s="1"/>
  <c r="G78" i="14" s="1"/>
  <c r="G69" i="14"/>
  <c r="F68" i="14"/>
  <c r="G68" i="14" s="1"/>
  <c r="G67" i="14"/>
  <c r="G70" i="14" s="1"/>
  <c r="G71" i="14" s="1"/>
  <c r="G63" i="14"/>
  <c r="G62" i="14"/>
  <c r="G61" i="14"/>
  <c r="G60" i="14"/>
  <c r="G59" i="14"/>
  <c r="G58" i="14"/>
  <c r="G57" i="14"/>
  <c r="G64" i="14" s="1"/>
  <c r="G65" i="14" s="1"/>
  <c r="G50" i="14"/>
  <c r="G49" i="14"/>
  <c r="G48" i="14"/>
  <c r="G47" i="14"/>
  <c r="G51" i="14" s="1"/>
  <c r="G52" i="14" s="1"/>
  <c r="G43" i="14"/>
  <c r="G42" i="14"/>
  <c r="G41" i="14"/>
  <c r="G44" i="14" s="1"/>
  <c r="G45" i="14" s="1"/>
  <c r="G37" i="14"/>
  <c r="G36" i="14"/>
  <c r="G35" i="14"/>
  <c r="G34" i="14"/>
  <c r="G33" i="14"/>
  <c r="G32" i="14"/>
  <c r="G31" i="14"/>
  <c r="G38" i="14" s="1"/>
  <c r="G39" i="14" s="1"/>
  <c r="G24" i="14"/>
  <c r="G23" i="14"/>
  <c r="G22" i="14"/>
  <c r="G21" i="14"/>
  <c r="G25" i="14" s="1"/>
  <c r="G26" i="14" s="1"/>
  <c r="G17" i="14"/>
  <c r="G16" i="14"/>
  <c r="G15" i="14"/>
  <c r="G18" i="14" s="1"/>
  <c r="G19" i="14" s="1"/>
  <c r="G11" i="14"/>
  <c r="G10" i="14"/>
  <c r="G9" i="14"/>
  <c r="G8" i="14"/>
  <c r="G7" i="14"/>
  <c r="G6" i="14"/>
  <c r="G12" i="14" s="1"/>
  <c r="G13" i="14" s="1"/>
  <c r="G5" i="14"/>
  <c r="F24" i="3" l="1"/>
  <c r="G24" i="3" s="1"/>
  <c r="F25" i="3"/>
  <c r="F26" i="3"/>
  <c r="F23" i="3"/>
  <c r="G23" i="3" s="1"/>
  <c r="F17" i="3"/>
  <c r="G17" i="3" s="1"/>
  <c r="F18" i="3"/>
  <c r="G18" i="3" s="1"/>
  <c r="F16" i="3"/>
  <c r="G16" i="3" s="1"/>
  <c r="G25" i="3"/>
  <c r="F6" i="3"/>
  <c r="G6" i="3" s="1"/>
  <c r="F7" i="3"/>
  <c r="G7" i="3" s="1"/>
  <c r="F8" i="3"/>
  <c r="F9" i="3"/>
  <c r="F10" i="3"/>
  <c r="G10" i="3" s="1"/>
  <c r="F11" i="3"/>
  <c r="G11" i="3" s="1"/>
  <c r="F5" i="3"/>
  <c r="G5" i="3" s="1"/>
  <c r="G26" i="3"/>
  <c r="G9" i="3"/>
  <c r="G8" i="3"/>
  <c r="E37" i="13"/>
  <c r="E37" i="7"/>
  <c r="G12" i="3" l="1"/>
  <c r="G13" i="3" s="1"/>
  <c r="E45" i="13" s="1"/>
  <c r="G19" i="3"/>
  <c r="G20" i="3" s="1"/>
  <c r="E46" i="13" s="1"/>
  <c r="G27" i="3"/>
  <c r="G28" i="3" s="1"/>
  <c r="E47" i="13" s="1"/>
  <c r="E35" i="7" l="1"/>
  <c r="E34" i="13"/>
  <c r="E33" i="13"/>
  <c r="D16" i="13"/>
  <c r="E34" i="7" l="1"/>
  <c r="E33" i="7"/>
  <c r="E47" i="7" l="1"/>
  <c r="E46" i="7"/>
  <c r="D94" i="13"/>
  <c r="D93" i="13"/>
  <c r="D92" i="13"/>
  <c r="D91" i="13"/>
  <c r="D90" i="13"/>
  <c r="D85" i="13"/>
  <c r="D83" i="13"/>
  <c r="D82" i="13"/>
  <c r="D80" i="13"/>
  <c r="D81" i="13" s="1"/>
  <c r="D66" i="13"/>
  <c r="D62" i="13"/>
  <c r="D84" i="13" s="1"/>
  <c r="E22" i="13"/>
  <c r="E35" i="13" s="1"/>
  <c r="D96" i="13" l="1"/>
  <c r="E28" i="13"/>
  <c r="D97" i="13"/>
  <c r="E23" i="13"/>
  <c r="E25" i="13" s="1"/>
  <c r="D69" i="13"/>
  <c r="E27" i="13"/>
  <c r="D86" i="13"/>
  <c r="D75" i="13"/>
  <c r="D76" i="13" s="1"/>
  <c r="D67" i="13"/>
  <c r="D68" i="13" s="1"/>
  <c r="D70" i="13" s="1"/>
  <c r="D98" i="13" l="1"/>
  <c r="E26" i="13"/>
  <c r="D66" i="7" l="1"/>
  <c r="D85" i="7"/>
  <c r="D82" i="7"/>
  <c r="E22" i="7"/>
  <c r="D67" i="7" l="1"/>
  <c r="D68" i="7" s="1"/>
  <c r="E23" i="7" l="1"/>
  <c r="E28" i="7" s="1"/>
  <c r="E41" i="13" l="1"/>
  <c r="E126" i="13" s="1"/>
  <c r="E41" i="7" l="1"/>
  <c r="D94" i="7"/>
  <c r="D93" i="7"/>
  <c r="D92" i="7"/>
  <c r="D91" i="7"/>
  <c r="D90" i="7"/>
  <c r="D83" i="7"/>
  <c r="D80" i="7"/>
  <c r="D62" i="7"/>
  <c r="D97" i="7" s="1"/>
  <c r="E27" i="7"/>
  <c r="E25" i="7"/>
  <c r="E29" i="7" l="1"/>
  <c r="D96" i="7"/>
  <c r="D98" i="7" s="1"/>
  <c r="E126" i="7"/>
  <c r="D69" i="7"/>
  <c r="D70" i="7" s="1"/>
  <c r="D75" i="7"/>
  <c r="D76" i="7" s="1"/>
  <c r="D81" i="7"/>
  <c r="D84" i="7"/>
  <c r="E45" i="7" l="1"/>
  <c r="E74" i="7"/>
  <c r="E75" i="7" s="1"/>
  <c r="E76" i="7" s="1"/>
  <c r="E104" i="7" s="1"/>
  <c r="E66" i="7"/>
  <c r="E83" i="7"/>
  <c r="E84" i="7" s="1"/>
  <c r="E82" i="7"/>
  <c r="E91" i="7"/>
  <c r="E60" i="7"/>
  <c r="E57" i="7"/>
  <c r="E54" i="7"/>
  <c r="D86" i="7"/>
  <c r="E61" i="7"/>
  <c r="E93" i="7"/>
  <c r="E58" i="7"/>
  <c r="E125" i="7"/>
  <c r="E55" i="7"/>
  <c r="E59" i="7"/>
  <c r="E67" i="7"/>
  <c r="E80" i="7"/>
  <c r="E90" i="7"/>
  <c r="E92" i="7"/>
  <c r="E94" i="7"/>
  <c r="E56" i="7"/>
  <c r="E81" i="7"/>
  <c r="E49" i="13" l="1"/>
  <c r="E127" i="13" s="1"/>
  <c r="E49" i="7"/>
  <c r="E127" i="7" s="1"/>
  <c r="E85" i="7"/>
  <c r="E86" i="7" s="1"/>
  <c r="E105" i="7" s="1"/>
  <c r="E68" i="7"/>
  <c r="E69" i="7" s="1"/>
  <c r="E62" i="7"/>
  <c r="E103" i="7" s="1"/>
  <c r="E96" i="7"/>
  <c r="E70" i="7" l="1"/>
  <c r="E102" i="7" s="1"/>
  <c r="E97" i="7"/>
  <c r="E98" i="7" s="1"/>
  <c r="E106" i="7" l="1"/>
  <c r="E108" i="7" s="1"/>
  <c r="E128" i="7" s="1"/>
  <c r="E120" i="7" l="1"/>
  <c r="E129" i="7"/>
  <c r="E112" i="7" s="1"/>
  <c r="E117" i="7" l="1"/>
  <c r="E115" i="7"/>
  <c r="E116" i="7"/>
  <c r="E121" i="7" l="1"/>
  <c r="E130" i="7" s="1"/>
  <c r="E131" i="7" l="1"/>
  <c r="D136" i="7" s="1"/>
  <c r="F136" i="7" l="1"/>
  <c r="C15" i="11" s="1"/>
  <c r="D15" i="11" s="1"/>
  <c r="E15" i="11" l="1"/>
  <c r="D9" i="7"/>
  <c r="H136" i="7"/>
  <c r="H139" i="7" s="1"/>
  <c r="F145" i="7" s="1"/>
  <c r="F144" i="7"/>
  <c r="F146" i="7" l="1"/>
  <c r="G9" i="7" s="1"/>
  <c r="F9" i="7"/>
  <c r="E29" i="13"/>
  <c r="E82" i="13" l="1"/>
  <c r="E67" i="13"/>
  <c r="E81" i="13"/>
  <c r="E61" i="13"/>
  <c r="E66" i="13"/>
  <c r="E60" i="13"/>
  <c r="E94" i="13"/>
  <c r="E125" i="13"/>
  <c r="E59" i="13"/>
  <c r="E55" i="13"/>
  <c r="E80" i="13"/>
  <c r="E58" i="13"/>
  <c r="E90" i="13"/>
  <c r="E57" i="13"/>
  <c r="E91" i="13"/>
  <c r="E83" i="13"/>
  <c r="E54" i="13"/>
  <c r="E92" i="13"/>
  <c r="E93" i="13"/>
  <c r="E56" i="13"/>
  <c r="E74" i="13"/>
  <c r="E68" i="13" l="1"/>
  <c r="E69" i="13" s="1"/>
  <c r="E70" i="13" s="1"/>
  <c r="E102" i="13" s="1"/>
  <c r="E75" i="13"/>
  <c r="E76" i="13" s="1"/>
  <c r="E104" i="13" s="1"/>
  <c r="E62" i="13"/>
  <c r="E103" i="13" s="1"/>
  <c r="E85" i="13"/>
  <c r="E84" i="13"/>
  <c r="E96" i="13"/>
  <c r="E86" i="13" l="1"/>
  <c r="E105" i="13" s="1"/>
  <c r="E97" i="13"/>
  <c r="E98" i="13" s="1"/>
  <c r="E106" i="13" s="1"/>
  <c r="E108" i="13" s="1"/>
  <c r="E128" i="13" l="1"/>
  <c r="E129" i="13" s="1"/>
  <c r="E112" i="13" s="1"/>
  <c r="E120" i="13"/>
  <c r="E115" i="13" l="1"/>
  <c r="E116" i="13" l="1"/>
  <c r="E117" i="13"/>
  <c r="E121" i="13" l="1"/>
  <c r="E130" i="13" s="1"/>
  <c r="E131" i="13" s="1"/>
  <c r="D136" i="13" s="1"/>
  <c r="F136" i="13" s="1"/>
  <c r="C16" i="11" s="1"/>
  <c r="D16" i="11" s="1"/>
  <c r="E16" i="11" l="1"/>
  <c r="E17" i="11"/>
  <c r="E18" i="11" s="1"/>
  <c r="H136" i="13"/>
  <c r="H139" i="13" s="1"/>
  <c r="F145" i="13" s="1"/>
  <c r="F146" i="13" s="1"/>
  <c r="G9" i="13" s="1"/>
  <c r="F144" i="13"/>
  <c r="D9" i="13"/>
  <c r="F9" i="13" l="1"/>
</calcChain>
</file>

<file path=xl/sharedStrings.xml><?xml version="1.0" encoding="utf-8"?>
<sst xmlns="http://schemas.openxmlformats.org/spreadsheetml/2006/main" count="686" uniqueCount="204">
  <si>
    <t>Município/UF: São Luís/MA</t>
  </si>
  <si>
    <t>Nº de meses de execução contratual: 12 meses</t>
  </si>
  <si>
    <t>Item</t>
  </si>
  <si>
    <t>Posto</t>
  </si>
  <si>
    <t>Custo Estimado por posto</t>
  </si>
  <si>
    <t>Quantidade de postos</t>
  </si>
  <si>
    <t>Valor mensal</t>
  </si>
  <si>
    <t>Valor anual</t>
  </si>
  <si>
    <t>Vigilante (com adicional noturno)</t>
  </si>
  <si>
    <t>E</t>
  </si>
  <si>
    <t>PLANILHA DE COMPOSIÇÃO DE CUSTOS E FORMAÇÃO DE PREÇOS</t>
  </si>
  <si>
    <t>A</t>
  </si>
  <si>
    <t>B</t>
  </si>
  <si>
    <t>C</t>
  </si>
  <si>
    <t>D</t>
  </si>
  <si>
    <t>Mão-de-obra vinculada à execução contratual</t>
  </si>
  <si>
    <t>Dados complementares para composição dos custos referente à mão-de-obra</t>
  </si>
  <si>
    <t>Tipo de serviço</t>
  </si>
  <si>
    <t>Vigilância</t>
  </si>
  <si>
    <t>Salário normativo da categoria profissional</t>
  </si>
  <si>
    <t>Categoria profissional</t>
  </si>
  <si>
    <t>Data base da categoria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</si>
  <si>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</si>
  <si>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</si>
  <si>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</si>
  <si>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</si>
  <si>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</si>
  <si>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</si>
  <si>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</si>
  <si>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Hora noturna adicional</t>
  </si>
  <si>
    <t>F</t>
  </si>
  <si>
    <t>Adicional de risco de vida</t>
  </si>
  <si>
    <t>G</t>
  </si>
  <si>
    <t>H</t>
  </si>
  <si>
    <t>Outros</t>
  </si>
  <si>
    <t>Total da Remuneração</t>
  </si>
  <si>
    <t>Módulo 2: Benefícios Mensais e diários</t>
  </si>
  <si>
    <t>Benefícios Mensais e Diários</t>
  </si>
  <si>
    <t>Auxílio creche</t>
  </si>
  <si>
    <t>I</t>
  </si>
  <si>
    <t>Total de benefícios mensais e diários</t>
  </si>
  <si>
    <t>Módulo 3: Insumos Diversos</t>
  </si>
  <si>
    <t>Insumos diversos</t>
  </si>
  <si>
    <t>Total de Insumos Diversos</t>
  </si>
  <si>
    <t>Módulo 4: Encargos Sociais e Trabalhistas</t>
  </si>
  <si>
    <t>Submódulo 4.1 – Encargos previdenciários e FGTS</t>
  </si>
  <si>
    <t>4.1</t>
  </si>
  <si>
    <t>Encargos previdenciários e FGTS</t>
  </si>
  <si>
    <t>%</t>
  </si>
  <si>
    <t>INSS</t>
  </si>
  <si>
    <t>SESI OU SESC</t>
  </si>
  <si>
    <t>SENAI OU SENAC</t>
  </si>
  <si>
    <t>INCRA</t>
  </si>
  <si>
    <t>Salário Educação</t>
  </si>
  <si>
    <t>FGTS</t>
  </si>
  <si>
    <t>SEBRAE</t>
  </si>
  <si>
    <t>Total</t>
  </si>
  <si>
    <t>Submódulo 4.2 – 13º salário e Adicional de Férias</t>
  </si>
  <si>
    <t>4.2</t>
  </si>
  <si>
    <t>13º Salário e Adicional de Férias</t>
  </si>
  <si>
    <t>Subtotal</t>
  </si>
  <si>
    <t>Incidência do Submódulo 4.1 sobre 13º salário e adicional de férias</t>
  </si>
  <si>
    <t>Submódulo 4.3 – Afastamento Maternidade</t>
  </si>
  <si>
    <t>4.3</t>
  </si>
  <si>
    <t>Afastamento Maternidade</t>
  </si>
  <si>
    <t>Incidência do submódulo 4.1 sobre afastamento maternidade</t>
  </si>
  <si>
    <t>Submódulo 4.4 – Provisão para Rescisão</t>
  </si>
  <si>
    <t>4.4</t>
  </si>
  <si>
    <t>Provisão para Rescisão</t>
  </si>
  <si>
    <t>Incidência do FGTS sobre aviso prévio indenizado (provisão para rescisão)</t>
  </si>
  <si>
    <t>Multa do FGTS do aviso prévio indenizado (manual)</t>
  </si>
  <si>
    <t>Aviso prévio trabalhado  (manual)</t>
  </si>
  <si>
    <t>Incidência do submódulo 4.1 sobre aviso prévio trabalhado</t>
  </si>
  <si>
    <t>Multa FGTS do aviso prévio trabalhado</t>
  </si>
  <si>
    <t>Submódulo 4.5 – Custo de Reposição do Profissional Ausente</t>
  </si>
  <si>
    <t>4.5</t>
  </si>
  <si>
    <t>Composição do custo de Reposição do Profissional Ausente</t>
  </si>
  <si>
    <t>Ausências legais</t>
  </si>
  <si>
    <t>Incidência do submódulo 4.1 sobre o Custo de reposição</t>
  </si>
  <si>
    <t>Quadro – resumo – Módulo 4 – Encargos sociais e trabalhistas</t>
  </si>
  <si>
    <t>Encargos Sociais e Trabalhistas</t>
  </si>
  <si>
    <t>13º salário+Adicional de Férias</t>
  </si>
  <si>
    <t>Encargos Previdenciários e FGTS</t>
  </si>
  <si>
    <t>Custo de Rescisão</t>
  </si>
  <si>
    <t>Custo de Reposição do Profissional Ausente</t>
  </si>
  <si>
    <t>4.6</t>
  </si>
  <si>
    <t>Módulo 5: Custos indiretos, tributos e lucro</t>
  </si>
  <si>
    <t>Custos Indiretos, Tributos e Lucro</t>
  </si>
  <si>
    <t>Custos Indiretos (Portaria nº 7 da IN nº2/2008)</t>
  </si>
  <si>
    <t>Tributos</t>
  </si>
  <si>
    <t>Lucro</t>
  </si>
  <si>
    <t>Mão-de-obra vinculada à execução contratual (valor por empregado)</t>
  </si>
  <si>
    <t>Módulo 1- Composição da Remuneração</t>
  </si>
  <si>
    <t>Módulo 2- Benefícios Mensais e Diários</t>
  </si>
  <si>
    <t>Módulo 3- Insumos Diversos (uniformes, materiais, equipamentos e outros)</t>
  </si>
  <si>
    <t>Módulo 4- Encargos Sociais e Trabalhistas</t>
  </si>
  <si>
    <t>Subtotal (A+B+C+D)</t>
  </si>
  <si>
    <t>Módulo 5 – Custos indiretos, tributos e lucro</t>
  </si>
  <si>
    <t>Valor total por empregado</t>
  </si>
  <si>
    <t>Anexo III –C – Quadro-resumo – Valor Mensal dos Serviços</t>
  </si>
  <si>
    <t>Qtde de empregados por posto</t>
  </si>
  <si>
    <t>Valor total dos serviços</t>
  </si>
  <si>
    <t>(A)</t>
  </si>
  <si>
    <t>(C)</t>
  </si>
  <si>
    <t>(D)=(BXC)</t>
  </si>
  <si>
    <t>(E)</t>
  </si>
  <si>
    <t>(F)=(DxE)</t>
  </si>
  <si>
    <t>Serviço 1 (com adicional noturno)</t>
  </si>
  <si>
    <t>II</t>
  </si>
  <si>
    <t>Serviço 2 (indicar)</t>
  </si>
  <si>
    <t>Valor mensal dos serviços (I+II)</t>
  </si>
  <si>
    <t>Anexo III –D – Quadro-demonstrativo – Valor Global da proposta</t>
  </si>
  <si>
    <t>Valor global da proposta</t>
  </si>
  <si>
    <t>Descrição</t>
  </si>
  <si>
    <t>Valor proposto por unidade de medida</t>
  </si>
  <si>
    <t>Valor mensal do serviço</t>
  </si>
  <si>
    <t>Valor global da proposta (valor mensal do serviço x nº meses do contrato)</t>
  </si>
  <si>
    <t>Vigilante (sem adicional noturno)</t>
  </si>
  <si>
    <t xml:space="preserve">13º Salário </t>
  </si>
  <si>
    <t>Aviso prévio Indenizado</t>
  </si>
  <si>
    <t xml:space="preserve">Férias </t>
  </si>
  <si>
    <t xml:space="preserve">Ausência por doença </t>
  </si>
  <si>
    <t>Ausência por acidente de trabalho</t>
  </si>
  <si>
    <t>Quant.</t>
  </si>
  <si>
    <t>Preço Unit.</t>
  </si>
  <si>
    <t>Sub-Total</t>
  </si>
  <si>
    <t>Total por ano</t>
  </si>
  <si>
    <t>Munição</t>
  </si>
  <si>
    <t>Serviço 1 (sem adicional noturno)</t>
  </si>
  <si>
    <t>Uniformes (Cotação no Mercado)</t>
  </si>
  <si>
    <t>Materiais (Cotação no Mercado)</t>
  </si>
  <si>
    <t>Equipamentos (Cotação no Mercado)</t>
  </si>
  <si>
    <t xml:space="preserve">Outros </t>
  </si>
  <si>
    <t>Tipo de Posto</t>
  </si>
  <si>
    <t>Quantidade de Postos</t>
  </si>
  <si>
    <t>Valor Unitário Mensal (R$)</t>
  </si>
  <si>
    <t>Preço Máximo Mensal (R$)</t>
  </si>
  <si>
    <t>Preço Máximo Anual (R$)</t>
  </si>
  <si>
    <t>Vigilância 12x36 (Diurno)</t>
  </si>
  <si>
    <t>Vigilância 12x36 (Noturno)</t>
  </si>
  <si>
    <t>Intervalo intrajornada</t>
  </si>
  <si>
    <t>Outros (Exames Médicos)</t>
  </si>
  <si>
    <t xml:space="preserve">Licença paternidade </t>
  </si>
  <si>
    <t>POSTO DIURNO</t>
  </si>
  <si>
    <t>Qtde de postos</t>
  </si>
  <si>
    <t>POSTO NOTURNO</t>
  </si>
  <si>
    <t>Hora Noturna Reduzida - Súmula 444</t>
  </si>
  <si>
    <t>Cinto</t>
  </si>
  <si>
    <t xml:space="preserve">Valor Máximo Anual do Contrato (12 meses) </t>
  </si>
  <si>
    <t xml:space="preserve">Plano de saúde </t>
  </si>
  <si>
    <t>Seguro de vida</t>
  </si>
  <si>
    <t>Auxílio funeral</t>
  </si>
  <si>
    <t>Auxílio invalidez</t>
  </si>
  <si>
    <t>Adicional de Férias</t>
  </si>
  <si>
    <t>Seguro Acidente de Trabalho</t>
  </si>
  <si>
    <t xml:space="preserve">Uniforme </t>
  </si>
  <si>
    <t>Ano Acordo, Convenção Coletiva ou Sentença Normativa em Dissídio Coletivo: 2022/2023</t>
  </si>
  <si>
    <t>B.1</t>
  </si>
  <si>
    <t>B.1.1</t>
  </si>
  <si>
    <t>B.2</t>
  </si>
  <si>
    <t>B.3</t>
  </si>
  <si>
    <t>B.4</t>
  </si>
  <si>
    <t>Outros Tributos</t>
  </si>
  <si>
    <t>Tributos Municipais</t>
  </si>
  <si>
    <t>Tributos Estaduais  (ISS)</t>
  </si>
  <si>
    <t>COFINS (depende do regime de tributação)</t>
  </si>
  <si>
    <t>PIS (depende do regime de tributação)</t>
  </si>
  <si>
    <t>Tributos Federais</t>
  </si>
  <si>
    <t>Anexo III – B – Quadro resumo do custo por empregado</t>
  </si>
  <si>
    <t>Valor proposto por empregado</t>
  </si>
  <si>
    <t xml:space="preserve"> (B)</t>
  </si>
  <si>
    <t>Valor proposto
por posto</t>
  </si>
  <si>
    <t>Material</t>
  </si>
  <si>
    <t>Capa do colete balístico</t>
  </si>
  <si>
    <t>Coldre</t>
  </si>
  <si>
    <t>Equipamento</t>
  </si>
  <si>
    <t>Transporte  (R$ 3,90 x15 dias x 2 viagens)</t>
  </si>
  <si>
    <t>Auxílio alimentação (R$ 22,12 x 15 plantões)</t>
  </si>
  <si>
    <t>DISCRIMINAÇÃO DE UNIFORMES, EPIs e EQUIPAMENTOS</t>
  </si>
  <si>
    <t>Crachá de identificação</t>
  </si>
  <si>
    <t>Camisa social</t>
  </si>
  <si>
    <t>Calça social</t>
  </si>
  <si>
    <t>Bota (cuturno)</t>
  </si>
  <si>
    <t>Unid.</t>
  </si>
  <si>
    <t>und</t>
  </si>
  <si>
    <t>par</t>
  </si>
  <si>
    <t>Quepe ou boné com emblema</t>
  </si>
  <si>
    <t>Meia social masculina</t>
  </si>
  <si>
    <t>Livro de ocorrência</t>
  </si>
  <si>
    <t>Revólver</t>
  </si>
  <si>
    <t>conj</t>
  </si>
  <si>
    <t>Lanterna recarregável</t>
  </si>
  <si>
    <t>Colete balístico</t>
  </si>
  <si>
    <t>Uniformes</t>
  </si>
  <si>
    <t>Materiais</t>
  </si>
  <si>
    <t>Equipamentos</t>
  </si>
  <si>
    <t>Outros  (Especificar)</t>
  </si>
  <si>
    <t>Custo mensal</t>
  </si>
  <si>
    <t>COLABORE</t>
  </si>
  <si>
    <t>C&amp;S VIGILÂNCIA E SEGURANÇA</t>
  </si>
  <si>
    <t>STONE</t>
  </si>
  <si>
    <t>Valor Máximo Mensal do Contrato (1 Posto Diurno e 1 Posto Noturno)</t>
  </si>
  <si>
    <t>Anexo IV: Planilha de Custos</t>
  </si>
  <si>
    <t xml:space="preserve">Ministério do Desenvolvimento Regional - M D R
Companhia de Desenvolvimento dos Vales do São Francisco e do Parnaíba
8ª Superintendência Regional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</si>
</sst>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[$R$ -416]#,##0.00_);\([$R$ -416]#,##0.00\)"/>
    <numFmt numFmtId="166" formatCode="&quot;R$ &quot;#,##0.00"/>
    <numFmt numFmtId="167" formatCode="_(&quot;R$ &quot;* #,##0.00_);_(&quot;R$ &quot;* \(#,##0.00\);_(&quot;R$ &quot;* \-??_);_(@_)"/>
    <numFmt numFmtId="168" formatCode="[$R$-416]\ #,##0.00;[Red]\-[$R$-416]\ #,##0.00"/>
    <numFmt numFmtId="169" formatCode="&quot;R$ &quot;#,##0.00;[Red]&quot;R$ &quot;#,##0.00"/>
    <numFmt numFmtId="170" formatCode="_-[$R$-416]\ * #,##0.00_-;\-[$R$-416]\ * #,##0.00_-;_-[$R$-416]\ * &quot;-&quot;??_-;_-@_-"/>
  </numFmts>
  <fonts count="1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b/>
      <sz val="10"/>
      <name val="Calibri"/>
      <family val="2"/>
      <scheme val="minor"/>
    </font>
    <font>
      <sz val="10"/>
      <color rgb="FF000000"/>
      <name val="Calibri"/>
      <family val="2"/>
      <charset val="1"/>
    </font>
    <font>
      <b/>
      <sz val="12"/>
      <color rgb="FF000000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1"/>
      <name val="Calibri"/>
      <family val="2"/>
      <scheme val="minor"/>
    </font>
    <font>
      <sz val="10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7" fontId="1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ill="1" applyAlignment="1">
      <alignment vertical="center"/>
    </xf>
    <xf numFmtId="0" fontId="2" fillId="3" borderId="0" xfId="0" applyFont="1" applyFill="1"/>
    <xf numFmtId="4" fontId="2" fillId="3" borderId="0" xfId="0" applyNumberFormat="1" applyFont="1" applyFill="1"/>
    <xf numFmtId="164" fontId="2" fillId="3" borderId="0" xfId="0" applyNumberFormat="1" applyFont="1" applyFill="1"/>
    <xf numFmtId="0" fontId="0" fillId="3" borderId="0" xfId="0" applyFill="1" applyAlignment="1">
      <alignment horizontal="center"/>
    </xf>
    <xf numFmtId="166" fontId="5" fillId="3" borderId="0" xfId="0" applyNumberFormat="1" applyFont="1" applyFill="1"/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67" fontId="4" fillId="0" borderId="1" xfId="1" applyFont="1" applyBorder="1" applyAlignment="1">
      <alignment vertical="center"/>
    </xf>
    <xf numFmtId="167" fontId="13" fillId="0" borderId="1" xfId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1" fillId="0" borderId="0" xfId="0" applyFont="1" applyFill="1"/>
    <xf numFmtId="0" fontId="8" fillId="0" borderId="0" xfId="0" applyFont="1" applyFill="1"/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/>
    <xf numFmtId="2" fontId="8" fillId="0" borderId="0" xfId="0" applyNumberFormat="1" applyFont="1" applyFill="1"/>
    <xf numFmtId="4" fontId="8" fillId="0" borderId="0" xfId="0" applyNumberFormat="1" applyFont="1" applyFill="1"/>
    <xf numFmtId="4" fontId="8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0" fontId="8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0" fontId="8" fillId="0" borderId="0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10" fontId="8" fillId="0" borderId="5" xfId="0" applyNumberFormat="1" applyFont="1" applyFill="1" applyBorder="1" applyAlignment="1">
      <alignment vertical="center" wrapText="1"/>
    </xf>
    <xf numFmtId="167" fontId="4" fillId="0" borderId="1" xfId="1" applyFont="1" applyFill="1" applyBorder="1" applyAlignment="1">
      <alignment vertical="center"/>
    </xf>
    <xf numFmtId="10" fontId="8" fillId="0" borderId="1" xfId="0" applyNumberFormat="1" applyFont="1" applyFill="1" applyBorder="1" applyAlignment="1">
      <alignment vertical="center" wrapText="1"/>
    </xf>
    <xf numFmtId="168" fontId="8" fillId="0" borderId="0" xfId="0" applyNumberFormat="1" applyFont="1" applyFill="1"/>
    <xf numFmtId="167" fontId="13" fillId="0" borderId="1" xfId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1" xfId="0" applyFont="1" applyFill="1" applyBorder="1"/>
    <xf numFmtId="167" fontId="4" fillId="0" borderId="1" xfId="1" applyFont="1" applyFill="1" applyBorder="1"/>
    <xf numFmtId="169" fontId="8" fillId="0" borderId="0" xfId="0" applyNumberFormat="1" applyFont="1" applyFill="1"/>
    <xf numFmtId="167" fontId="13" fillId="0" borderId="1" xfId="1" applyFont="1" applyFill="1" applyBorder="1" applyAlignment="1">
      <alignment horizontal="center"/>
    </xf>
    <xf numFmtId="0" fontId="9" fillId="0" borderId="0" xfId="0" applyFont="1" applyFill="1" applyBorder="1" applyAlignment="1" applyProtection="1"/>
    <xf numFmtId="0" fontId="4" fillId="0" borderId="1" xfId="2" applyNumberFormat="1" applyFont="1" applyBorder="1" applyAlignment="1">
      <alignment horizontal="center" vertical="center"/>
    </xf>
    <xf numFmtId="167" fontId="13" fillId="0" borderId="1" xfId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67" fontId="4" fillId="0" borderId="1" xfId="1" applyFont="1" applyBorder="1" applyAlignment="1">
      <alignment horizontal="center" vertical="center"/>
    </xf>
    <xf numFmtId="167" fontId="13" fillId="2" borderId="1" xfId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7" fontId="13" fillId="2" borderId="1" xfId="1" applyFont="1" applyFill="1" applyBorder="1" applyAlignment="1">
      <alignment vertical="center"/>
    </xf>
    <xf numFmtId="0" fontId="0" fillId="3" borderId="0" xfId="0" applyFill="1" applyBorder="1"/>
    <xf numFmtId="0" fontId="15" fillId="3" borderId="1" xfId="0" applyFont="1" applyFill="1" applyBorder="1" applyAlignment="1">
      <alignment horizontal="center" vertical="center"/>
    </xf>
    <xf numFmtId="0" fontId="13" fillId="3" borderId="0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/>
    </xf>
    <xf numFmtId="167" fontId="4" fillId="0" borderId="1" xfId="1" applyFont="1" applyFill="1" applyBorder="1" applyAlignment="1">
      <alignment horizontal="center" vertical="center"/>
    </xf>
    <xf numFmtId="167" fontId="13" fillId="0" borderId="1" xfId="1" applyFont="1" applyFill="1" applyBorder="1" applyAlignment="1">
      <alignment horizontal="center" vertical="center"/>
    </xf>
    <xf numFmtId="167" fontId="13" fillId="4" borderId="1" xfId="1" applyFont="1" applyFill="1" applyBorder="1" applyAlignment="1">
      <alignment vertical="center"/>
    </xf>
    <xf numFmtId="0" fontId="15" fillId="3" borderId="10" xfId="0" applyFont="1" applyFill="1" applyBorder="1" applyAlignment="1">
      <alignment horizontal="center" vertical="center"/>
    </xf>
    <xf numFmtId="167" fontId="4" fillId="0" borderId="11" xfId="1" applyFont="1" applyBorder="1" applyAlignment="1">
      <alignment vertical="center"/>
    </xf>
    <xf numFmtId="167" fontId="13" fillId="4" borderId="14" xfId="1" applyFont="1" applyFill="1" applyBorder="1" applyAlignment="1">
      <alignment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167" fontId="13" fillId="4" borderId="24" xfId="1" applyFont="1" applyFill="1" applyBorder="1" applyAlignment="1">
      <alignment vertical="center"/>
    </xf>
    <xf numFmtId="167" fontId="4" fillId="0" borderId="1" xfId="1" applyNumberFormat="1" applyFont="1" applyBorder="1" applyAlignment="1">
      <alignment vertical="center"/>
    </xf>
    <xf numFmtId="170" fontId="3" fillId="0" borderId="1" xfId="1" applyNumberFormat="1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/>
    <xf numFmtId="0" fontId="11" fillId="3" borderId="0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4" fontId="8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15" fillId="3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6" fillId="3" borderId="7" xfId="0" applyFont="1" applyFill="1" applyBorder="1" applyAlignment="1">
      <alignment horizontal="center" vertical="center"/>
    </xf>
    <xf numFmtId="0" fontId="16" fillId="3" borderId="8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/>
    </xf>
    <xf numFmtId="0" fontId="16" fillId="3" borderId="20" xfId="0" applyFont="1" applyFill="1" applyBorder="1" applyAlignment="1">
      <alignment horizontal="center" vertical="center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3" fillId="4" borderId="23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5B3D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558ED5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85725</xdr:rowOff>
    </xdr:from>
    <xdr:to>
      <xdr:col>0</xdr:col>
      <xdr:colOff>2019300</xdr:colOff>
      <xdr:row>2</xdr:row>
      <xdr:rowOff>95250</xdr:rowOff>
    </xdr:to>
    <xdr:pic>
      <xdr:nvPicPr>
        <xdr:cNvPr id="18" name="Imagem 17" descr="Acesse www.codevasf.gov.br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952625" cy="390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47625</xdr:rowOff>
    </xdr:from>
    <xdr:to>
      <xdr:col>7</xdr:col>
      <xdr:colOff>142875</xdr:colOff>
      <xdr:row>3</xdr:row>
      <xdr:rowOff>152400</xdr:rowOff>
    </xdr:to>
    <xdr:grpSp>
      <xdr:nvGrpSpPr>
        <xdr:cNvPr id="4" name="Grupo 3"/>
        <xdr:cNvGrpSpPr/>
      </xdr:nvGrpSpPr>
      <xdr:grpSpPr>
        <a:xfrm>
          <a:off x="304800" y="47625"/>
          <a:ext cx="7486650" cy="676275"/>
          <a:chOff x="304800" y="47625"/>
          <a:chExt cx="7486650" cy="676275"/>
        </a:xfrm>
      </xdr:grpSpPr>
      <xdr:pic>
        <xdr:nvPicPr>
          <xdr:cNvPr id="3" name="Imagem 2" descr="Acesse www.codevasf.gov.b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800" y="142875"/>
            <a:ext cx="2238375" cy="4476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CaixaDeTexto 1"/>
          <xdr:cNvSpPr txBox="1"/>
        </xdr:nvSpPr>
        <xdr:spPr>
          <a:xfrm>
            <a:off x="2543175" y="47625"/>
            <a:ext cx="5248275" cy="6762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Ministério do Desenvolvimento Regional - M D R</a:t>
            </a:r>
          </a:p>
          <a:p>
            <a:r>
              <a:rPr lang="pt-BR" sz="1100"/>
              <a:t>Companhia de Desenvolvimento dos Vales do São Francisco e do Parnaíba</a:t>
            </a:r>
          </a:p>
          <a:p>
            <a:r>
              <a:rPr lang="pt-BR" sz="1100"/>
              <a:t>8ª Superintendência Regional 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47625</xdr:rowOff>
    </xdr:from>
    <xdr:to>
      <xdr:col>7</xdr:col>
      <xdr:colOff>142875</xdr:colOff>
      <xdr:row>3</xdr:row>
      <xdr:rowOff>152400</xdr:rowOff>
    </xdr:to>
    <xdr:grpSp>
      <xdr:nvGrpSpPr>
        <xdr:cNvPr id="3" name="Grupo 2"/>
        <xdr:cNvGrpSpPr/>
      </xdr:nvGrpSpPr>
      <xdr:grpSpPr>
        <a:xfrm>
          <a:off x="304800" y="47625"/>
          <a:ext cx="7486650" cy="676275"/>
          <a:chOff x="304800" y="47625"/>
          <a:chExt cx="7486650" cy="676275"/>
        </a:xfrm>
      </xdr:grpSpPr>
      <xdr:pic>
        <xdr:nvPicPr>
          <xdr:cNvPr id="4" name="Imagem 3" descr="Acesse www.codevasf.gov.br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4800" y="142875"/>
            <a:ext cx="2238375" cy="4476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5" name="CaixaDeTexto 4"/>
          <xdr:cNvSpPr txBox="1"/>
        </xdr:nvSpPr>
        <xdr:spPr>
          <a:xfrm>
            <a:off x="2543175" y="47625"/>
            <a:ext cx="5248275" cy="67627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pt-BR" sz="1100"/>
              <a:t>Ministério do Desenvolvimento Regional - M D R</a:t>
            </a:r>
          </a:p>
          <a:p>
            <a:r>
              <a:rPr lang="pt-BR" sz="1100"/>
              <a:t>Companhia de Desenvolvimento dos Vales do São Francisco e do Parnaíba</a:t>
            </a:r>
          </a:p>
          <a:p>
            <a:r>
              <a:rPr lang="pt-BR" sz="1100"/>
              <a:t>8ª Superintendência Regional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zoomScaleNormal="100" zoomScaleSheetLayoutView="160" workbookViewId="0">
      <selection activeCell="A7" sqref="A7:E7"/>
    </sheetView>
  </sheetViews>
  <sheetFormatPr defaultColWidth="9.140625" defaultRowHeight="15.75" x14ac:dyDescent="0.25"/>
  <cols>
    <col min="1" max="1" width="31.28515625" style="4" customWidth="1"/>
    <col min="2" max="2" width="13.28515625" style="5" bestFit="1" customWidth="1"/>
    <col min="3" max="5" width="15.7109375" style="4" customWidth="1"/>
    <col min="6" max="6" width="12.42578125" style="4" bestFit="1" customWidth="1"/>
    <col min="7" max="16384" width="9.140625" style="4"/>
  </cols>
  <sheetData>
    <row r="1" spans="1:5" s="1" customFormat="1" ht="15" customHeight="1" x14ac:dyDescent="0.25">
      <c r="A1" s="54"/>
      <c r="B1" s="77" t="s">
        <v>203</v>
      </c>
      <c r="C1" s="77"/>
      <c r="D1" s="77"/>
      <c r="E1" s="77"/>
    </row>
    <row r="2" spans="1:5" s="1" customFormat="1" ht="15" customHeight="1" x14ac:dyDescent="0.25">
      <c r="A2" s="54"/>
      <c r="B2" s="77"/>
      <c r="C2" s="77"/>
      <c r="D2" s="77"/>
      <c r="E2" s="77"/>
    </row>
    <row r="3" spans="1:5" s="1" customFormat="1" ht="15" customHeight="1" x14ac:dyDescent="0.25">
      <c r="A3" s="54"/>
      <c r="B3" s="77"/>
      <c r="C3" s="77"/>
      <c r="D3" s="77"/>
      <c r="E3" s="77"/>
    </row>
    <row r="4" spans="1:5" s="1" customFormat="1" ht="15" customHeight="1" x14ac:dyDescent="0.25">
      <c r="A4" s="79"/>
      <c r="B4" s="79"/>
      <c r="C4" s="79"/>
      <c r="D4" s="79"/>
      <c r="E4" s="79"/>
    </row>
    <row r="5" spans="1:5" s="7" customFormat="1" ht="15" customHeight="1" x14ac:dyDescent="0.25">
      <c r="A5" s="80"/>
      <c r="B5" s="80"/>
      <c r="C5" s="80"/>
      <c r="D5" s="80"/>
      <c r="E5" s="80"/>
    </row>
    <row r="6" spans="1:5" s="1" customFormat="1" ht="15" customHeight="1" x14ac:dyDescent="0.25">
      <c r="A6" s="81" t="s">
        <v>202</v>
      </c>
      <c r="B6" s="81"/>
      <c r="C6" s="81"/>
      <c r="D6" s="81"/>
      <c r="E6" s="81"/>
    </row>
    <row r="7" spans="1:5" s="1" customFormat="1" ht="15" customHeight="1" x14ac:dyDescent="0.25">
      <c r="A7" s="79"/>
      <c r="B7" s="79"/>
      <c r="C7" s="79"/>
      <c r="D7" s="79"/>
      <c r="E7" s="79"/>
    </row>
    <row r="8" spans="1:5" s="8" customFormat="1" ht="15" customHeight="1" x14ac:dyDescent="0.25">
      <c r="A8" s="82"/>
      <c r="B8" s="82"/>
      <c r="C8" s="82"/>
      <c r="D8" s="82"/>
      <c r="E8" s="82"/>
    </row>
    <row r="9" spans="1:5" s="1" customFormat="1" ht="15" customHeight="1" x14ac:dyDescent="0.25">
      <c r="A9" s="82" t="s">
        <v>0</v>
      </c>
      <c r="B9" s="82"/>
      <c r="C9" s="82"/>
      <c r="D9" s="82"/>
      <c r="E9" s="82"/>
    </row>
    <row r="10" spans="1:5" s="1" customFormat="1" ht="15" customHeight="1" x14ac:dyDescent="0.25">
      <c r="A10" s="82" t="s">
        <v>156</v>
      </c>
      <c r="B10" s="82"/>
      <c r="C10" s="82"/>
      <c r="D10" s="82"/>
      <c r="E10" s="82"/>
    </row>
    <row r="11" spans="1:5" s="1" customFormat="1" ht="15" customHeight="1" x14ac:dyDescent="0.25">
      <c r="A11" s="82" t="s">
        <v>1</v>
      </c>
      <c r="B11" s="82"/>
      <c r="C11" s="82"/>
      <c r="D11" s="82"/>
      <c r="E11" s="82"/>
    </row>
    <row r="12" spans="1:5" s="1" customFormat="1" ht="15" customHeight="1" x14ac:dyDescent="0.25">
      <c r="A12" s="74"/>
      <c r="B12" s="74"/>
      <c r="C12" s="74"/>
      <c r="D12" s="74"/>
      <c r="E12" s="74"/>
    </row>
    <row r="13" spans="1:5" ht="15" customHeight="1" x14ac:dyDescent="0.25">
      <c r="A13" s="83" t="s">
        <v>133</v>
      </c>
      <c r="B13" s="83" t="s">
        <v>134</v>
      </c>
      <c r="C13" s="83" t="s">
        <v>135</v>
      </c>
      <c r="D13" s="83" t="s">
        <v>136</v>
      </c>
      <c r="E13" s="83" t="s">
        <v>137</v>
      </c>
    </row>
    <row r="14" spans="1:5" ht="15" customHeight="1" x14ac:dyDescent="0.25">
      <c r="A14" s="84"/>
      <c r="B14" s="84"/>
      <c r="C14" s="84"/>
      <c r="D14" s="84"/>
      <c r="E14" s="84"/>
    </row>
    <row r="15" spans="1:5" ht="15" customHeight="1" x14ac:dyDescent="0.25">
      <c r="A15" s="50" t="s">
        <v>138</v>
      </c>
      <c r="B15" s="51">
        <v>1</v>
      </c>
      <c r="C15" s="52">
        <f>IFERROR('Posto Diurno'!F136,"")</f>
        <v>10010.09</v>
      </c>
      <c r="D15" s="52">
        <f>IFERROR(B15*C15,"")</f>
        <v>10010.09</v>
      </c>
      <c r="E15" s="52">
        <f>IFERROR(D15*12,"")</f>
        <v>120121.08</v>
      </c>
    </row>
    <row r="16" spans="1:5" ht="15" customHeight="1" x14ac:dyDescent="0.25">
      <c r="A16" s="50" t="s">
        <v>139</v>
      </c>
      <c r="B16" s="51">
        <v>1</v>
      </c>
      <c r="C16" s="52">
        <f>IFERROR('Posto Noturno'!F136,"")</f>
        <v>11439.75</v>
      </c>
      <c r="D16" s="52">
        <f>IFERROR(B16*C16,"")</f>
        <v>11439.75</v>
      </c>
      <c r="E16" s="52">
        <f>IFERROR(D16*12,"")</f>
        <v>137277</v>
      </c>
    </row>
    <row r="17" spans="1:6" ht="15" customHeight="1" x14ac:dyDescent="0.25">
      <c r="A17" s="78" t="s">
        <v>201</v>
      </c>
      <c r="B17" s="78"/>
      <c r="C17" s="78"/>
      <c r="D17" s="78"/>
      <c r="E17" s="53">
        <f>IFERROR(D15+D16,"")</f>
        <v>21449.84</v>
      </c>
      <c r="F17" s="6"/>
    </row>
    <row r="18" spans="1:6" ht="15" customHeight="1" x14ac:dyDescent="0.25">
      <c r="A18" s="78" t="s">
        <v>148</v>
      </c>
      <c r="B18" s="78"/>
      <c r="C18" s="78"/>
      <c r="D18" s="78"/>
      <c r="E18" s="53">
        <f>IFERROR(E17*12,"")</f>
        <v>257398.08000000002</v>
      </c>
      <c r="F18" s="6"/>
    </row>
  </sheetData>
  <mergeCells count="16">
    <mergeCell ref="B1:E3"/>
    <mergeCell ref="A17:D17"/>
    <mergeCell ref="A18:D18"/>
    <mergeCell ref="A4:E4"/>
    <mergeCell ref="A5:E5"/>
    <mergeCell ref="A6:E6"/>
    <mergeCell ref="A7:E7"/>
    <mergeCell ref="A8:E8"/>
    <mergeCell ref="A9:E9"/>
    <mergeCell ref="A10:E10"/>
    <mergeCell ref="A11:E11"/>
    <mergeCell ref="A13:A14"/>
    <mergeCell ref="B13:B14"/>
    <mergeCell ref="C13:C14"/>
    <mergeCell ref="D13:D14"/>
    <mergeCell ref="E13:E14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L146"/>
  <sheetViews>
    <sheetView showGridLines="0" zoomScaleNormal="100" zoomScaleSheetLayoutView="100" workbookViewId="0"/>
  </sheetViews>
  <sheetFormatPr defaultColWidth="10" defaultRowHeight="15" customHeight="1" x14ac:dyDescent="0.2"/>
  <cols>
    <col min="1" max="1" width="3.7109375" style="15" customWidth="1"/>
    <col min="2" max="2" width="8.42578125" style="15" customWidth="1"/>
    <col min="3" max="3" width="45.7109375" style="15" customWidth="1"/>
    <col min="4" max="4" width="15.28515625" style="23" customWidth="1"/>
    <col min="5" max="5" width="13.140625" style="20" customWidth="1"/>
    <col min="6" max="6" width="14.7109375" style="15" customWidth="1"/>
    <col min="7" max="7" width="13.7109375" style="15" customWidth="1"/>
    <col min="8" max="8" width="14.7109375" style="15" customWidth="1"/>
    <col min="9" max="9" width="3.7109375" style="15" customWidth="1"/>
    <col min="10" max="16384" width="10" style="15"/>
  </cols>
  <sheetData>
    <row r="1" spans="1:7" s="1" customFormat="1" ht="15" customHeight="1" x14ac:dyDescent="0.25">
      <c r="A1" s="54"/>
      <c r="B1" s="77"/>
      <c r="C1" s="77"/>
      <c r="D1" s="77"/>
      <c r="E1" s="77"/>
    </row>
    <row r="2" spans="1:7" s="1" customFormat="1" ht="15" customHeight="1" x14ac:dyDescent="0.25">
      <c r="A2" s="54"/>
      <c r="B2" s="77"/>
      <c r="C2" s="77"/>
      <c r="D2" s="77"/>
      <c r="E2" s="77"/>
    </row>
    <row r="3" spans="1:7" s="1" customFormat="1" ht="15" customHeight="1" x14ac:dyDescent="0.25">
      <c r="A3" s="54"/>
      <c r="B3" s="77"/>
      <c r="C3" s="77"/>
      <c r="D3" s="77"/>
      <c r="E3" s="77"/>
    </row>
    <row r="4" spans="1:7" s="1" customFormat="1" ht="15" customHeight="1" x14ac:dyDescent="0.25">
      <c r="A4" s="79"/>
      <c r="B4" s="79"/>
      <c r="C4" s="79"/>
      <c r="D4" s="79"/>
      <c r="E4" s="79"/>
    </row>
    <row r="5" spans="1:7" s="1" customFormat="1" ht="15" customHeight="1" x14ac:dyDescent="0.25">
      <c r="B5" s="81" t="s">
        <v>143</v>
      </c>
      <c r="C5" s="81"/>
      <c r="D5" s="81"/>
      <c r="E5" s="81"/>
      <c r="F5" s="81"/>
      <c r="G5" s="81"/>
    </row>
    <row r="6" spans="1:7" s="1" customFormat="1" ht="15" customHeight="1" x14ac:dyDescent="0.25">
      <c r="A6" s="75"/>
      <c r="B6" s="75"/>
      <c r="C6" s="75"/>
      <c r="D6" s="75"/>
      <c r="E6" s="75"/>
    </row>
    <row r="7" spans="1:7" ht="15" customHeight="1" x14ac:dyDescent="0.2">
      <c r="B7" s="88" t="s">
        <v>2</v>
      </c>
      <c r="C7" s="88" t="s">
        <v>3</v>
      </c>
      <c r="D7" s="95" t="s">
        <v>4</v>
      </c>
      <c r="E7" s="96" t="s">
        <v>5</v>
      </c>
      <c r="F7" s="88" t="s">
        <v>6</v>
      </c>
      <c r="G7" s="88" t="s">
        <v>7</v>
      </c>
    </row>
    <row r="8" spans="1:7" ht="15" customHeight="1" x14ac:dyDescent="0.2">
      <c r="B8" s="88"/>
      <c r="C8" s="88"/>
      <c r="D8" s="95"/>
      <c r="E8" s="96"/>
      <c r="F8" s="88"/>
      <c r="G8" s="88"/>
    </row>
    <row r="9" spans="1:7" ht="15" customHeight="1" x14ac:dyDescent="0.2">
      <c r="B9" s="28">
        <v>1</v>
      </c>
      <c r="C9" s="16" t="s">
        <v>117</v>
      </c>
      <c r="D9" s="11">
        <f>F136</f>
        <v>10010.09</v>
      </c>
      <c r="E9" s="43">
        <v>1</v>
      </c>
      <c r="F9" s="11">
        <f>F145</f>
        <v>10010.09</v>
      </c>
      <c r="G9" s="11">
        <f>F146</f>
        <v>120121.08</v>
      </c>
    </row>
    <row r="10" spans="1:7" ht="15" customHeight="1" x14ac:dyDescent="0.2">
      <c r="B10" s="22"/>
    </row>
    <row r="11" spans="1:7" ht="15" customHeight="1" x14ac:dyDescent="0.2">
      <c r="B11" s="87" t="s">
        <v>10</v>
      </c>
      <c r="C11" s="87"/>
      <c r="D11" s="87"/>
      <c r="E11" s="87"/>
      <c r="F11" s="87"/>
      <c r="G11" s="87"/>
    </row>
    <row r="12" spans="1:7" ht="15" customHeight="1" x14ac:dyDescent="0.2">
      <c r="B12" s="22"/>
    </row>
    <row r="13" spans="1:7" ht="15" customHeight="1" x14ac:dyDescent="0.2">
      <c r="B13" s="22" t="s">
        <v>15</v>
      </c>
    </row>
    <row r="14" spans="1:7" ht="15" customHeight="1" x14ac:dyDescent="0.2">
      <c r="B14" s="98" t="s">
        <v>16</v>
      </c>
      <c r="C14" s="98"/>
      <c r="D14" s="98"/>
    </row>
    <row r="15" spans="1:7" ht="15" customHeight="1" x14ac:dyDescent="0.2">
      <c r="B15" s="28">
        <v>1</v>
      </c>
      <c r="C15" s="16" t="s">
        <v>17</v>
      </c>
      <c r="D15" s="25" t="s">
        <v>18</v>
      </c>
    </row>
    <row r="16" spans="1:7" ht="15" customHeight="1" x14ac:dyDescent="0.2">
      <c r="B16" s="28">
        <v>2</v>
      </c>
      <c r="C16" s="16" t="s">
        <v>19</v>
      </c>
      <c r="D16" s="73">
        <v>1381.57</v>
      </c>
      <c r="E16" s="15"/>
    </row>
    <row r="17" spans="2:12" ht="15" customHeight="1" x14ac:dyDescent="0.2">
      <c r="B17" s="28">
        <v>3</v>
      </c>
      <c r="C17" s="16" t="s">
        <v>20</v>
      </c>
      <c r="D17" s="25" t="s">
        <v>18</v>
      </c>
    </row>
    <row r="18" spans="2:12" ht="15" customHeight="1" x14ac:dyDescent="0.2">
      <c r="B18" s="28">
        <v>4</v>
      </c>
      <c r="C18" s="16" t="s">
        <v>21</v>
      </c>
      <c r="D18" s="26">
        <v>44593</v>
      </c>
    </row>
    <row r="19" spans="2:12" ht="15" customHeight="1" x14ac:dyDescent="0.2">
      <c r="B19" s="29"/>
      <c r="C19" s="17"/>
      <c r="D19" s="30"/>
    </row>
    <row r="20" spans="2:12" ht="15" customHeight="1" x14ac:dyDescent="0.2">
      <c r="B20" s="22" t="s">
        <v>22</v>
      </c>
    </row>
    <row r="21" spans="2:12" ht="15" customHeight="1" x14ac:dyDescent="0.2">
      <c r="B21" s="9">
        <v>1</v>
      </c>
      <c r="C21" s="88" t="s">
        <v>23</v>
      </c>
      <c r="D21" s="88"/>
      <c r="E21" s="10" t="s">
        <v>24</v>
      </c>
    </row>
    <row r="22" spans="2:12" ht="15" customHeight="1" x14ac:dyDescent="0.2">
      <c r="B22" s="28" t="s">
        <v>11</v>
      </c>
      <c r="C22" s="31" t="s">
        <v>25</v>
      </c>
      <c r="D22" s="32"/>
      <c r="E22" s="33">
        <f>D16</f>
        <v>1381.57</v>
      </c>
      <c r="F22" s="76"/>
      <c r="G22" s="76"/>
      <c r="H22" s="76"/>
    </row>
    <row r="23" spans="2:12" ht="15" customHeight="1" x14ac:dyDescent="0.2">
      <c r="B23" s="28" t="s">
        <v>12</v>
      </c>
      <c r="C23" s="16" t="s">
        <v>26</v>
      </c>
      <c r="D23" s="25">
        <v>0.3</v>
      </c>
      <c r="E23" s="33">
        <f>D23*E22</f>
        <v>414.47099999999995</v>
      </c>
    </row>
    <row r="24" spans="2:12" ht="15" customHeight="1" x14ac:dyDescent="0.2">
      <c r="B24" s="28" t="s">
        <v>13</v>
      </c>
      <c r="C24" s="16" t="s">
        <v>27</v>
      </c>
      <c r="D24" s="25">
        <v>0</v>
      </c>
      <c r="E24" s="33">
        <v>0</v>
      </c>
    </row>
    <row r="25" spans="2:12" ht="15" customHeight="1" x14ac:dyDescent="0.2">
      <c r="B25" s="28" t="s">
        <v>14</v>
      </c>
      <c r="C25" s="16" t="s">
        <v>28</v>
      </c>
      <c r="D25" s="25">
        <v>0</v>
      </c>
      <c r="E25" s="33">
        <f>E22*D25</f>
        <v>0</v>
      </c>
    </row>
    <row r="26" spans="2:12" ht="15" customHeight="1" x14ac:dyDescent="0.2">
      <c r="B26" s="28" t="s">
        <v>9</v>
      </c>
      <c r="C26" s="16" t="s">
        <v>29</v>
      </c>
      <c r="D26" s="25">
        <v>0</v>
      </c>
      <c r="E26" s="33">
        <v>0</v>
      </c>
    </row>
    <row r="27" spans="2:12" ht="15" customHeight="1" x14ac:dyDescent="0.2">
      <c r="B27" s="28" t="s">
        <v>30</v>
      </c>
      <c r="C27" s="16" t="s">
        <v>31</v>
      </c>
      <c r="D27" s="25">
        <v>0</v>
      </c>
      <c r="E27" s="33">
        <f>E22*D27</f>
        <v>0</v>
      </c>
    </row>
    <row r="28" spans="2:12" ht="15" customHeight="1" x14ac:dyDescent="0.2">
      <c r="B28" s="28" t="s">
        <v>32</v>
      </c>
      <c r="C28" s="16" t="s">
        <v>140</v>
      </c>
      <c r="D28" s="25"/>
      <c r="E28" s="33">
        <f>SUM(E22:E23)/220*1.5*15</f>
        <v>183.68601136363637</v>
      </c>
      <c r="I28" s="35"/>
      <c r="J28" s="35"/>
      <c r="K28" s="35"/>
      <c r="L28" s="35"/>
    </row>
    <row r="29" spans="2:12" ht="15" customHeight="1" x14ac:dyDescent="0.2">
      <c r="B29" s="91" t="s">
        <v>35</v>
      </c>
      <c r="C29" s="94"/>
      <c r="D29" s="92"/>
      <c r="E29" s="36">
        <f>E22+E23+E24+E25+E26+E27+E28</f>
        <v>1979.7270113636364</v>
      </c>
    </row>
    <row r="30" spans="2:12" ht="15" customHeight="1" x14ac:dyDescent="0.2">
      <c r="B30" s="37"/>
    </row>
    <row r="31" spans="2:12" ht="15" customHeight="1" x14ac:dyDescent="0.2">
      <c r="B31" s="22" t="s">
        <v>36</v>
      </c>
    </row>
    <row r="32" spans="2:12" ht="15" customHeight="1" x14ac:dyDescent="0.2">
      <c r="B32" s="9">
        <v>2</v>
      </c>
      <c r="C32" s="88" t="s">
        <v>37</v>
      </c>
      <c r="D32" s="88"/>
      <c r="E32" s="10" t="s">
        <v>24</v>
      </c>
    </row>
    <row r="33" spans="2:10" ht="15" customHeight="1" x14ac:dyDescent="0.2">
      <c r="B33" s="28" t="s">
        <v>11</v>
      </c>
      <c r="C33" s="38" t="s">
        <v>176</v>
      </c>
      <c r="D33" s="25"/>
      <c r="E33" s="33">
        <f>(3.9*15*2)</f>
        <v>117</v>
      </c>
      <c r="F33" s="17"/>
      <c r="G33" s="18"/>
      <c r="I33" s="40"/>
      <c r="J33" s="40"/>
    </row>
    <row r="34" spans="2:10" ht="15" customHeight="1" x14ac:dyDescent="0.2">
      <c r="B34" s="28" t="s">
        <v>13</v>
      </c>
      <c r="C34" s="38" t="s">
        <v>177</v>
      </c>
      <c r="D34" s="25"/>
      <c r="E34" s="33">
        <f>22.12*15</f>
        <v>331.8</v>
      </c>
    </row>
    <row r="35" spans="2:10" ht="15" customHeight="1" x14ac:dyDescent="0.2">
      <c r="B35" s="28" t="s">
        <v>14</v>
      </c>
      <c r="C35" s="16" t="s">
        <v>149</v>
      </c>
      <c r="D35" s="25">
        <v>3.7999999999999999E-2</v>
      </c>
      <c r="E35" s="33">
        <f>D35*D16</f>
        <v>52.499659999999999</v>
      </c>
    </row>
    <row r="36" spans="2:10" ht="15" customHeight="1" x14ac:dyDescent="0.2">
      <c r="B36" s="28" t="s">
        <v>9</v>
      </c>
      <c r="C36" s="16" t="s">
        <v>38</v>
      </c>
      <c r="D36" s="25"/>
      <c r="E36" s="33">
        <v>0</v>
      </c>
    </row>
    <row r="37" spans="2:10" ht="15" customHeight="1" x14ac:dyDescent="0.2">
      <c r="B37" s="28" t="s">
        <v>30</v>
      </c>
      <c r="C37" s="16" t="s">
        <v>150</v>
      </c>
      <c r="D37" s="25"/>
      <c r="E37" s="33">
        <f>SUM(15.5+12)/2</f>
        <v>13.75</v>
      </c>
    </row>
    <row r="38" spans="2:10" ht="15" customHeight="1" x14ac:dyDescent="0.2">
      <c r="B38" s="28" t="s">
        <v>32</v>
      </c>
      <c r="C38" s="16" t="s">
        <v>152</v>
      </c>
      <c r="D38" s="25"/>
      <c r="E38" s="33">
        <v>0</v>
      </c>
    </row>
    <row r="39" spans="2:10" ht="15" customHeight="1" x14ac:dyDescent="0.2">
      <c r="B39" s="28" t="s">
        <v>33</v>
      </c>
      <c r="C39" s="16" t="s">
        <v>151</v>
      </c>
      <c r="D39" s="25"/>
      <c r="E39" s="33">
        <v>0</v>
      </c>
    </row>
    <row r="40" spans="2:10" ht="15" customHeight="1" x14ac:dyDescent="0.2">
      <c r="B40" s="28" t="s">
        <v>39</v>
      </c>
      <c r="C40" s="16" t="s">
        <v>141</v>
      </c>
      <c r="D40" s="25"/>
      <c r="E40" s="33">
        <v>0</v>
      </c>
    </row>
    <row r="41" spans="2:10" ht="15" customHeight="1" x14ac:dyDescent="0.2">
      <c r="B41" s="85" t="s">
        <v>40</v>
      </c>
      <c r="C41" s="85"/>
      <c r="D41" s="85"/>
      <c r="E41" s="41">
        <f>SUM(E33:E40)</f>
        <v>515.04966000000002</v>
      </c>
    </row>
    <row r="42" spans="2:10" ht="15" customHeight="1" x14ac:dyDescent="0.2">
      <c r="B42" s="37"/>
    </row>
    <row r="43" spans="2:10" ht="15" customHeight="1" x14ac:dyDescent="0.2">
      <c r="B43" s="22" t="s">
        <v>41</v>
      </c>
    </row>
    <row r="44" spans="2:10" ht="15" customHeight="1" x14ac:dyDescent="0.2">
      <c r="B44" s="9">
        <v>3</v>
      </c>
      <c r="C44" s="97" t="s">
        <v>42</v>
      </c>
      <c r="D44" s="97"/>
      <c r="E44" s="10" t="s">
        <v>24</v>
      </c>
    </row>
    <row r="45" spans="2:10" ht="15" customHeight="1" x14ac:dyDescent="0.2">
      <c r="B45" s="28" t="s">
        <v>11</v>
      </c>
      <c r="C45" s="16" t="s">
        <v>193</v>
      </c>
      <c r="D45" s="34"/>
      <c r="E45" s="11">
        <f>AVERAGE(Plan1!G13,Plan1!G39,Plan1!G65)</f>
        <v>20.923333333333332</v>
      </c>
      <c r="F45" s="13"/>
      <c r="G45" s="13"/>
      <c r="H45" s="13"/>
    </row>
    <row r="46" spans="2:10" ht="15" customHeight="1" x14ac:dyDescent="0.2">
      <c r="B46" s="28" t="s">
        <v>12</v>
      </c>
      <c r="C46" s="16" t="s">
        <v>194</v>
      </c>
      <c r="D46" s="34"/>
      <c r="E46" s="11">
        <f>AVERAGE(Plan1!G19,Plan1!G45,Plan1!G71)</f>
        <v>37.54</v>
      </c>
      <c r="F46" s="13"/>
      <c r="G46" s="13"/>
      <c r="H46" s="13"/>
    </row>
    <row r="47" spans="2:10" ht="15" customHeight="1" x14ac:dyDescent="0.2">
      <c r="B47" s="28" t="s">
        <v>13</v>
      </c>
      <c r="C47" s="16" t="s">
        <v>195</v>
      </c>
      <c r="D47" s="34"/>
      <c r="E47" s="11">
        <f>AVERAGE(Plan1!G26,Plan1!G52)</f>
        <v>149.88</v>
      </c>
      <c r="F47" s="13"/>
      <c r="G47" s="13"/>
      <c r="H47" s="13"/>
    </row>
    <row r="48" spans="2:10" ht="15" customHeight="1" x14ac:dyDescent="0.2">
      <c r="B48" s="28" t="s">
        <v>14</v>
      </c>
      <c r="C48" s="16" t="s">
        <v>196</v>
      </c>
      <c r="D48" s="34"/>
      <c r="E48" s="11">
        <v>0</v>
      </c>
    </row>
    <row r="49" spans="2:5" ht="15" customHeight="1" x14ac:dyDescent="0.2">
      <c r="B49" s="85" t="s">
        <v>43</v>
      </c>
      <c r="C49" s="85"/>
      <c r="D49" s="85"/>
      <c r="E49" s="44">
        <f>SUM(E45:E48)</f>
        <v>208.34333333333333</v>
      </c>
    </row>
    <row r="50" spans="2:5" ht="15" customHeight="1" x14ac:dyDescent="0.2">
      <c r="B50" s="22"/>
    </row>
    <row r="51" spans="2:5" ht="15" customHeight="1" x14ac:dyDescent="0.2">
      <c r="B51" s="22" t="s">
        <v>44</v>
      </c>
    </row>
    <row r="52" spans="2:5" ht="15" customHeight="1" x14ac:dyDescent="0.2">
      <c r="B52" s="37" t="s">
        <v>45</v>
      </c>
    </row>
    <row r="53" spans="2:5" ht="15" customHeight="1" x14ac:dyDescent="0.2">
      <c r="B53" s="9" t="s">
        <v>46</v>
      </c>
      <c r="C53" s="9" t="s">
        <v>47</v>
      </c>
      <c r="D53" s="45" t="s">
        <v>48</v>
      </c>
      <c r="E53" s="10" t="s">
        <v>24</v>
      </c>
    </row>
    <row r="54" spans="2:5" ht="15" customHeight="1" x14ac:dyDescent="0.2">
      <c r="B54" s="28" t="s">
        <v>11</v>
      </c>
      <c r="C54" s="16" t="s">
        <v>49</v>
      </c>
      <c r="D54" s="25">
        <v>0.2</v>
      </c>
      <c r="E54" s="46">
        <f>E29*0.2</f>
        <v>395.94540227272728</v>
      </c>
    </row>
    <row r="55" spans="2:5" ht="15" customHeight="1" x14ac:dyDescent="0.2">
      <c r="B55" s="28" t="s">
        <v>12</v>
      </c>
      <c r="C55" s="16" t="s">
        <v>50</v>
      </c>
      <c r="D55" s="25">
        <v>1.4999999999999999E-2</v>
      </c>
      <c r="E55" s="46">
        <f>E29*0.015</f>
        <v>29.695905170454544</v>
      </c>
    </row>
    <row r="56" spans="2:5" ht="15" customHeight="1" x14ac:dyDescent="0.2">
      <c r="B56" s="28" t="s">
        <v>13</v>
      </c>
      <c r="C56" s="16" t="s">
        <v>51</v>
      </c>
      <c r="D56" s="25">
        <v>0.01</v>
      </c>
      <c r="E56" s="46">
        <f>E29*0.01</f>
        <v>19.797270113636365</v>
      </c>
    </row>
    <row r="57" spans="2:5" ht="15" customHeight="1" x14ac:dyDescent="0.2">
      <c r="B57" s="28" t="s">
        <v>14</v>
      </c>
      <c r="C57" s="16" t="s">
        <v>52</v>
      </c>
      <c r="D57" s="25">
        <v>2E-3</v>
      </c>
      <c r="E57" s="46">
        <f>E29*0.002</f>
        <v>3.959454022727273</v>
      </c>
    </row>
    <row r="58" spans="2:5" ht="15" customHeight="1" x14ac:dyDescent="0.2">
      <c r="B58" s="28" t="s">
        <v>9</v>
      </c>
      <c r="C58" s="16" t="s">
        <v>53</v>
      </c>
      <c r="D58" s="25">
        <v>2.5000000000000001E-2</v>
      </c>
      <c r="E58" s="46">
        <f>E29*0.025</f>
        <v>49.49317528409091</v>
      </c>
    </row>
    <row r="59" spans="2:5" ht="15" customHeight="1" x14ac:dyDescent="0.2">
      <c r="B59" s="28" t="s">
        <v>30</v>
      </c>
      <c r="C59" s="16" t="s">
        <v>54</v>
      </c>
      <c r="D59" s="25">
        <v>0.08</v>
      </c>
      <c r="E59" s="46">
        <f>E29*0.08</f>
        <v>158.37816090909092</v>
      </c>
    </row>
    <row r="60" spans="2:5" ht="15" customHeight="1" x14ac:dyDescent="0.2">
      <c r="B60" s="28" t="s">
        <v>32</v>
      </c>
      <c r="C60" s="16" t="s">
        <v>154</v>
      </c>
      <c r="D60" s="25">
        <v>0.03</v>
      </c>
      <c r="E60" s="46">
        <f>E29*0.03</f>
        <v>59.391810340909089</v>
      </c>
    </row>
    <row r="61" spans="2:5" ht="15" customHeight="1" x14ac:dyDescent="0.2">
      <c r="B61" s="28" t="s">
        <v>33</v>
      </c>
      <c r="C61" s="16" t="s">
        <v>55</v>
      </c>
      <c r="D61" s="25">
        <v>6.0000000000000001E-3</v>
      </c>
      <c r="E61" s="46">
        <f>E29*0.006</f>
        <v>11.878362068181819</v>
      </c>
    </row>
    <row r="62" spans="2:5" ht="15" customHeight="1" x14ac:dyDescent="0.2">
      <c r="B62" s="85" t="s">
        <v>56</v>
      </c>
      <c r="C62" s="85"/>
      <c r="D62" s="27">
        <f>SUM(D54:D61)</f>
        <v>0.3680000000000001</v>
      </c>
      <c r="E62" s="44">
        <f>SUM(E54:E61)</f>
        <v>728.5395401818181</v>
      </c>
    </row>
    <row r="63" spans="2:5" ht="15" customHeight="1" x14ac:dyDescent="0.2">
      <c r="B63" s="37"/>
    </row>
    <row r="64" spans="2:5" ht="15" customHeight="1" x14ac:dyDescent="0.2">
      <c r="B64" s="37" t="s">
        <v>57</v>
      </c>
    </row>
    <row r="65" spans="2:5" ht="15" customHeight="1" x14ac:dyDescent="0.2">
      <c r="B65" s="9" t="s">
        <v>58</v>
      </c>
      <c r="C65" s="88" t="s">
        <v>59</v>
      </c>
      <c r="D65" s="88"/>
      <c r="E65" s="10" t="s">
        <v>24</v>
      </c>
    </row>
    <row r="66" spans="2:5" ht="15" customHeight="1" x14ac:dyDescent="0.2">
      <c r="B66" s="28" t="s">
        <v>11</v>
      </c>
      <c r="C66" s="16" t="s">
        <v>118</v>
      </c>
      <c r="D66" s="25">
        <f>5/56</f>
        <v>8.9285714285714288E-2</v>
      </c>
      <c r="E66" s="11">
        <f>D66*E29</f>
        <v>176.76134030032469</v>
      </c>
    </row>
    <row r="67" spans="2:5" ht="15" customHeight="1" x14ac:dyDescent="0.2">
      <c r="B67" s="28" t="s">
        <v>12</v>
      </c>
      <c r="C67" s="16" t="s">
        <v>153</v>
      </c>
      <c r="D67" s="25">
        <f>(1/3)*D66</f>
        <v>2.976190476190476E-2</v>
      </c>
      <c r="E67" s="11">
        <f>E29*D67</f>
        <v>58.920446766774887</v>
      </c>
    </row>
    <row r="68" spans="2:5" ht="15" customHeight="1" x14ac:dyDescent="0.2">
      <c r="B68" s="91" t="s">
        <v>60</v>
      </c>
      <c r="C68" s="92"/>
      <c r="D68" s="27">
        <f>D66+D67</f>
        <v>0.11904761904761904</v>
      </c>
      <c r="E68" s="11">
        <f>SUM(E66:E67)</f>
        <v>235.68178706709958</v>
      </c>
    </row>
    <row r="69" spans="2:5" ht="25.5" x14ac:dyDescent="0.2">
      <c r="B69" s="28" t="s">
        <v>13</v>
      </c>
      <c r="C69" s="16" t="s">
        <v>61</v>
      </c>
      <c r="D69" s="25">
        <f>D62</f>
        <v>0.3680000000000001</v>
      </c>
      <c r="E69" s="11">
        <f>D69*E68</f>
        <v>86.730897640692675</v>
      </c>
    </row>
    <row r="70" spans="2:5" ht="15" customHeight="1" x14ac:dyDescent="0.2">
      <c r="B70" s="85" t="s">
        <v>56</v>
      </c>
      <c r="C70" s="85"/>
      <c r="D70" s="27">
        <f>SUM(D68:D69)</f>
        <v>0.48704761904761917</v>
      </c>
      <c r="E70" s="11">
        <f>SUM(E68:E69)</f>
        <v>322.41268470779227</v>
      </c>
    </row>
    <row r="71" spans="2:5" ht="15" customHeight="1" x14ac:dyDescent="0.2">
      <c r="B71" s="37"/>
    </row>
    <row r="72" spans="2:5" ht="15" customHeight="1" x14ac:dyDescent="0.2">
      <c r="B72" s="37" t="s">
        <v>62</v>
      </c>
    </row>
    <row r="73" spans="2:5" ht="15" customHeight="1" x14ac:dyDescent="0.2">
      <c r="B73" s="9" t="s">
        <v>63</v>
      </c>
      <c r="C73" s="88" t="s">
        <v>64</v>
      </c>
      <c r="D73" s="88"/>
      <c r="E73" s="10" t="s">
        <v>24</v>
      </c>
    </row>
    <row r="74" spans="2:5" ht="15" customHeight="1" x14ac:dyDescent="0.2">
      <c r="B74" s="28" t="s">
        <v>11</v>
      </c>
      <c r="C74" s="16" t="s">
        <v>64</v>
      </c>
      <c r="D74" s="25">
        <v>1.37E-2</v>
      </c>
      <c r="E74" s="11">
        <f>E29*D74</f>
        <v>27.122260055681821</v>
      </c>
    </row>
    <row r="75" spans="2:5" ht="25.5" x14ac:dyDescent="0.2">
      <c r="B75" s="28" t="s">
        <v>12</v>
      </c>
      <c r="C75" s="16" t="s">
        <v>65</v>
      </c>
      <c r="D75" s="25">
        <f>D62*D74</f>
        <v>5.041600000000002E-3</v>
      </c>
      <c r="E75" s="11">
        <f>E74*D75</f>
        <v>0.13673958629672553</v>
      </c>
    </row>
    <row r="76" spans="2:5" ht="15" customHeight="1" x14ac:dyDescent="0.2">
      <c r="B76" s="85" t="s">
        <v>56</v>
      </c>
      <c r="C76" s="85"/>
      <c r="D76" s="27">
        <f>SUM(D74:D75)</f>
        <v>1.8741600000000004E-2</v>
      </c>
      <c r="E76" s="44">
        <f>SUM(E74:E75)</f>
        <v>27.258999641978548</v>
      </c>
    </row>
    <row r="77" spans="2:5" ht="15" customHeight="1" x14ac:dyDescent="0.2">
      <c r="B77" s="37"/>
      <c r="C77" s="42"/>
    </row>
    <row r="78" spans="2:5" ht="15" customHeight="1" x14ac:dyDescent="0.2">
      <c r="B78" s="37" t="s">
        <v>66</v>
      </c>
    </row>
    <row r="79" spans="2:5" ht="15" customHeight="1" x14ac:dyDescent="0.2">
      <c r="B79" s="9" t="s">
        <v>67</v>
      </c>
      <c r="C79" s="88" t="s">
        <v>68</v>
      </c>
      <c r="D79" s="88"/>
      <c r="E79" s="10" t="s">
        <v>24</v>
      </c>
    </row>
    <row r="80" spans="2:5" ht="15" customHeight="1" x14ac:dyDescent="0.2">
      <c r="B80" s="28" t="s">
        <v>11</v>
      </c>
      <c r="C80" s="16" t="s">
        <v>119</v>
      </c>
      <c r="D80" s="25">
        <f xml:space="preserve"> ((1/12)* 0.05)</f>
        <v>4.1666666666666666E-3</v>
      </c>
      <c r="E80" s="11">
        <f>E29*D80</f>
        <v>8.2488625473484856</v>
      </c>
    </row>
    <row r="81" spans="2:5" ht="25.5" x14ac:dyDescent="0.2">
      <c r="B81" s="28" t="s">
        <v>12</v>
      </c>
      <c r="C81" s="16" t="s">
        <v>69</v>
      </c>
      <c r="D81" s="25">
        <f>D59*D80</f>
        <v>3.3333333333333332E-4</v>
      </c>
      <c r="E81" s="11">
        <f>E29*D81</f>
        <v>0.65990900378787876</v>
      </c>
    </row>
    <row r="82" spans="2:5" ht="15" customHeight="1" x14ac:dyDescent="0.2">
      <c r="B82" s="28" t="s">
        <v>13</v>
      </c>
      <c r="C82" s="16" t="s">
        <v>70</v>
      </c>
      <c r="D82" s="25">
        <f>0.08*0.5*0.9*(1 + 5/56+5/56+1/3*5/56)</f>
        <v>4.3499999999999997E-2</v>
      </c>
      <c r="E82" s="11">
        <f>D82*E29</f>
        <v>86.11812499431818</v>
      </c>
    </row>
    <row r="83" spans="2:5" ht="15" customHeight="1" x14ac:dyDescent="0.2">
      <c r="B83" s="28" t="s">
        <v>14</v>
      </c>
      <c r="C83" s="16" t="s">
        <v>71</v>
      </c>
      <c r="D83" s="25">
        <f xml:space="preserve"> ((7/30)/12)*0.02</f>
        <v>3.8888888888888892E-4</v>
      </c>
      <c r="E83" s="11">
        <f>E29*D83</f>
        <v>0.76989383775252529</v>
      </c>
    </row>
    <row r="84" spans="2:5" ht="25.5" x14ac:dyDescent="0.2">
      <c r="B84" s="28" t="s">
        <v>9</v>
      </c>
      <c r="C84" s="16" t="s">
        <v>72</v>
      </c>
      <c r="D84" s="25">
        <f>D62</f>
        <v>0.3680000000000001</v>
      </c>
      <c r="E84" s="11">
        <f>E83*D62</f>
        <v>0.28332093229292937</v>
      </c>
    </row>
    <row r="85" spans="2:5" ht="15" customHeight="1" x14ac:dyDescent="0.2">
      <c r="B85" s="28" t="s">
        <v>30</v>
      </c>
      <c r="C85" s="16" t="s">
        <v>73</v>
      </c>
      <c r="D85" s="25">
        <f>(40%)*D59</f>
        <v>3.2000000000000001E-2</v>
      </c>
      <c r="E85" s="11">
        <f>D85*E83</f>
        <v>2.4636602808080811E-2</v>
      </c>
    </row>
    <row r="86" spans="2:5" ht="15" customHeight="1" x14ac:dyDescent="0.2">
      <c r="B86" s="85" t="s">
        <v>56</v>
      </c>
      <c r="C86" s="85"/>
      <c r="D86" s="27">
        <f>SUM(D80:D85)</f>
        <v>0.44838888888888895</v>
      </c>
      <c r="E86" s="12">
        <f>SUM(E80:E85)</f>
        <v>96.104747918308078</v>
      </c>
    </row>
    <row r="87" spans="2:5" ht="15" customHeight="1" x14ac:dyDescent="0.2">
      <c r="B87" s="37"/>
    </row>
    <row r="88" spans="2:5" ht="15" customHeight="1" x14ac:dyDescent="0.2">
      <c r="B88" s="37" t="s">
        <v>74</v>
      </c>
    </row>
    <row r="89" spans="2:5" ht="15" customHeight="1" x14ac:dyDescent="0.2">
      <c r="B89" s="9" t="s">
        <v>75</v>
      </c>
      <c r="C89" s="88" t="s">
        <v>76</v>
      </c>
      <c r="D89" s="88"/>
      <c r="E89" s="10" t="s">
        <v>24</v>
      </c>
    </row>
    <row r="90" spans="2:5" ht="15" customHeight="1" x14ac:dyDescent="0.2">
      <c r="B90" s="28" t="s">
        <v>11</v>
      </c>
      <c r="C90" s="16" t="s">
        <v>120</v>
      </c>
      <c r="D90" s="25">
        <f>(5/56)</f>
        <v>8.9285714285714288E-2</v>
      </c>
      <c r="E90" s="11">
        <f>E29*D90</f>
        <v>176.76134030032469</v>
      </c>
    </row>
    <row r="91" spans="2:5" ht="15" customHeight="1" x14ac:dyDescent="0.2">
      <c r="B91" s="28" t="s">
        <v>12</v>
      </c>
      <c r="C91" s="16" t="s">
        <v>121</v>
      </c>
      <c r="D91" s="25">
        <f>(5.96/30)/12</f>
        <v>1.6555555555555556E-2</v>
      </c>
      <c r="E91" s="11">
        <f>E29*D91</f>
        <v>32.775480521464651</v>
      </c>
    </row>
    <row r="92" spans="2:5" ht="15" customHeight="1" x14ac:dyDescent="0.2">
      <c r="B92" s="28" t="s">
        <v>13</v>
      </c>
      <c r="C92" s="16" t="s">
        <v>142</v>
      </c>
      <c r="D92" s="25">
        <f>((5/30)/12)*0.015</f>
        <v>2.0833333333333332E-4</v>
      </c>
      <c r="E92" s="11">
        <f>E29*D92</f>
        <v>0.41244312736742422</v>
      </c>
    </row>
    <row r="93" spans="2:5" ht="15" customHeight="1" x14ac:dyDescent="0.2">
      <c r="B93" s="28" t="s">
        <v>14</v>
      </c>
      <c r="C93" s="16" t="s">
        <v>77</v>
      </c>
      <c r="D93" s="25">
        <f>(2.96/30)*(1/12)</f>
        <v>8.222222222222221E-3</v>
      </c>
      <c r="E93" s="11">
        <f>E29*D93</f>
        <v>16.277755426767676</v>
      </c>
    </row>
    <row r="94" spans="2:5" ht="15" customHeight="1" x14ac:dyDescent="0.2">
      <c r="B94" s="28" t="s">
        <v>9</v>
      </c>
      <c r="C94" s="16" t="s">
        <v>122</v>
      </c>
      <c r="D94" s="25">
        <f xml:space="preserve"> ((15/30)/12)*0.0078</f>
        <v>3.2499999999999999E-4</v>
      </c>
      <c r="E94" s="11">
        <f>E29*D94</f>
        <v>0.64341127869318182</v>
      </c>
    </row>
    <row r="95" spans="2:5" ht="15" customHeight="1" x14ac:dyDescent="0.2">
      <c r="B95" s="28" t="s">
        <v>30</v>
      </c>
      <c r="C95" s="16" t="s">
        <v>34</v>
      </c>
      <c r="D95" s="25">
        <v>0</v>
      </c>
      <c r="E95" s="11">
        <v>0</v>
      </c>
    </row>
    <row r="96" spans="2:5" ht="15" customHeight="1" x14ac:dyDescent="0.2">
      <c r="B96" s="85" t="s">
        <v>60</v>
      </c>
      <c r="C96" s="85"/>
      <c r="D96" s="27">
        <f>SUM(D90:D95)</f>
        <v>0.11459682539682541</v>
      </c>
      <c r="E96" s="12">
        <f>SUM(E90:E95)</f>
        <v>226.87043065461762</v>
      </c>
    </row>
    <row r="97" spans="2:5" ht="15" customHeight="1" x14ac:dyDescent="0.2">
      <c r="B97" s="28" t="s">
        <v>32</v>
      </c>
      <c r="C97" s="16" t="s">
        <v>78</v>
      </c>
      <c r="D97" s="25">
        <f>D62</f>
        <v>0.3680000000000001</v>
      </c>
      <c r="E97" s="11">
        <f>E96*D97</f>
        <v>83.488318480899309</v>
      </c>
    </row>
    <row r="98" spans="2:5" ht="15" customHeight="1" x14ac:dyDescent="0.2">
      <c r="B98" s="85" t="s">
        <v>56</v>
      </c>
      <c r="C98" s="85"/>
      <c r="D98" s="27">
        <f>SUM(D96:D97)</f>
        <v>0.48259682539682552</v>
      </c>
      <c r="E98" s="12">
        <f>SUM(E96:E97)</f>
        <v>310.35874913551692</v>
      </c>
    </row>
    <row r="99" spans="2:5" ht="15" customHeight="1" x14ac:dyDescent="0.2">
      <c r="B99" s="37"/>
    </row>
    <row r="100" spans="2:5" ht="15" customHeight="1" x14ac:dyDescent="0.2">
      <c r="B100" s="22" t="s">
        <v>79</v>
      </c>
    </row>
    <row r="101" spans="2:5" ht="15" customHeight="1" x14ac:dyDescent="0.2">
      <c r="B101" s="9">
        <v>4</v>
      </c>
      <c r="C101" s="88" t="s">
        <v>80</v>
      </c>
      <c r="D101" s="88"/>
      <c r="E101" s="47" t="s">
        <v>24</v>
      </c>
    </row>
    <row r="102" spans="2:5" ht="15" customHeight="1" x14ac:dyDescent="0.2">
      <c r="B102" s="28" t="s">
        <v>46</v>
      </c>
      <c r="C102" s="16" t="s">
        <v>81</v>
      </c>
      <c r="D102" s="34"/>
      <c r="E102" s="11">
        <f>E70</f>
        <v>322.41268470779227</v>
      </c>
    </row>
    <row r="103" spans="2:5" ht="15" customHeight="1" x14ac:dyDescent="0.2">
      <c r="B103" s="28" t="s">
        <v>58</v>
      </c>
      <c r="C103" s="16" t="s">
        <v>82</v>
      </c>
      <c r="D103" s="34"/>
      <c r="E103" s="11">
        <f>E62</f>
        <v>728.5395401818181</v>
      </c>
    </row>
    <row r="104" spans="2:5" ht="15" customHeight="1" x14ac:dyDescent="0.2">
      <c r="B104" s="28" t="s">
        <v>63</v>
      </c>
      <c r="C104" s="16" t="s">
        <v>64</v>
      </c>
      <c r="D104" s="34"/>
      <c r="E104" s="11">
        <f>E76</f>
        <v>27.258999641978548</v>
      </c>
    </row>
    <row r="105" spans="2:5" ht="15" customHeight="1" x14ac:dyDescent="0.2">
      <c r="B105" s="28" t="s">
        <v>67</v>
      </c>
      <c r="C105" s="16" t="s">
        <v>83</v>
      </c>
      <c r="D105" s="34"/>
      <c r="E105" s="11">
        <f>E86</f>
        <v>96.104747918308078</v>
      </c>
    </row>
    <row r="106" spans="2:5" ht="15" customHeight="1" x14ac:dyDescent="0.2">
      <c r="B106" s="28" t="s">
        <v>75</v>
      </c>
      <c r="C106" s="16" t="s">
        <v>84</v>
      </c>
      <c r="D106" s="34"/>
      <c r="E106" s="11">
        <f>E98</f>
        <v>310.35874913551692</v>
      </c>
    </row>
    <row r="107" spans="2:5" ht="15" customHeight="1" x14ac:dyDescent="0.2">
      <c r="B107" s="28" t="s">
        <v>85</v>
      </c>
      <c r="C107" s="16" t="s">
        <v>34</v>
      </c>
      <c r="D107" s="34"/>
      <c r="E107" s="11">
        <v>0</v>
      </c>
    </row>
    <row r="108" spans="2:5" ht="15" customHeight="1" x14ac:dyDescent="0.2">
      <c r="B108" s="85" t="s">
        <v>56</v>
      </c>
      <c r="C108" s="85"/>
      <c r="D108" s="85"/>
      <c r="E108" s="12">
        <f>SUM(E102:E107)</f>
        <v>1484.6747215854139</v>
      </c>
    </row>
    <row r="109" spans="2:5" ht="15" customHeight="1" x14ac:dyDescent="0.2">
      <c r="B109" s="37"/>
    </row>
    <row r="110" spans="2:5" ht="15" customHeight="1" x14ac:dyDescent="0.2">
      <c r="B110" s="22" t="s">
        <v>86</v>
      </c>
    </row>
    <row r="111" spans="2:5" ht="15" customHeight="1" x14ac:dyDescent="0.2">
      <c r="B111" s="9">
        <v>5</v>
      </c>
      <c r="C111" s="9" t="s">
        <v>87</v>
      </c>
      <c r="D111" s="45" t="s">
        <v>48</v>
      </c>
      <c r="E111" s="10" t="s">
        <v>24</v>
      </c>
    </row>
    <row r="112" spans="2:5" ht="15" customHeight="1" x14ac:dyDescent="0.2">
      <c r="B112" s="28" t="s">
        <v>11</v>
      </c>
      <c r="C112" s="16" t="s">
        <v>88</v>
      </c>
      <c r="D112" s="25">
        <v>0.05</v>
      </c>
      <c r="E112" s="11">
        <f>E129*D112</f>
        <v>209.3897363141192</v>
      </c>
    </row>
    <row r="113" spans="2:8" ht="15" customHeight="1" x14ac:dyDescent="0.2">
      <c r="B113" s="28" t="s">
        <v>12</v>
      </c>
      <c r="C113" s="93" t="s">
        <v>89</v>
      </c>
      <c r="D113" s="93"/>
      <c r="E113" s="93"/>
    </row>
    <row r="114" spans="2:8" ht="15" customHeight="1" x14ac:dyDescent="0.2">
      <c r="B114" s="28" t="s">
        <v>157</v>
      </c>
      <c r="C114" s="93" t="s">
        <v>167</v>
      </c>
      <c r="D114" s="93"/>
      <c r="E114" s="93"/>
    </row>
    <row r="115" spans="2:8" ht="15" customHeight="1" x14ac:dyDescent="0.2">
      <c r="B115" s="28" t="s">
        <v>158</v>
      </c>
      <c r="C115" s="16" t="s">
        <v>166</v>
      </c>
      <c r="D115" s="25">
        <v>6.4999999999999997E-3</v>
      </c>
      <c r="E115" s="11">
        <f>(E129+E112+E120)*D115</f>
        <v>29.942732292919047</v>
      </c>
    </row>
    <row r="116" spans="2:8" ht="15" customHeight="1" x14ac:dyDescent="0.2">
      <c r="B116" s="28" t="s">
        <v>158</v>
      </c>
      <c r="C116" s="16" t="s">
        <v>165</v>
      </c>
      <c r="D116" s="25">
        <v>0.03</v>
      </c>
      <c r="E116" s="11">
        <f>(E129+E112+E120)*D116</f>
        <v>138.19722596731867</v>
      </c>
    </row>
    <row r="117" spans="2:8" ht="15" customHeight="1" x14ac:dyDescent="0.2">
      <c r="B117" s="28" t="s">
        <v>159</v>
      </c>
      <c r="C117" s="16" t="s">
        <v>164</v>
      </c>
      <c r="D117" s="25">
        <v>0.05</v>
      </c>
      <c r="E117" s="11">
        <f>(E129+E112+E120)*D117</f>
        <v>230.32870994553116</v>
      </c>
    </row>
    <row r="118" spans="2:8" ht="15" customHeight="1" x14ac:dyDescent="0.2">
      <c r="B118" s="28" t="s">
        <v>160</v>
      </c>
      <c r="C118" s="16" t="s">
        <v>163</v>
      </c>
      <c r="D118" s="25"/>
      <c r="E118" s="11">
        <v>0</v>
      </c>
    </row>
    <row r="119" spans="2:8" ht="15" customHeight="1" x14ac:dyDescent="0.2">
      <c r="B119" s="28" t="s">
        <v>161</v>
      </c>
      <c r="C119" s="16" t="s">
        <v>162</v>
      </c>
      <c r="D119" s="25"/>
      <c r="E119" s="11">
        <v>0</v>
      </c>
    </row>
    <row r="120" spans="2:8" ht="15" customHeight="1" x14ac:dyDescent="0.2">
      <c r="B120" s="28" t="s">
        <v>13</v>
      </c>
      <c r="C120" s="16" t="s">
        <v>90</v>
      </c>
      <c r="D120" s="25">
        <v>0.05</v>
      </c>
      <c r="E120" s="11">
        <f>(E29+E41+E49+E108)*D120</f>
        <v>209.3897363141192</v>
      </c>
      <c r="H120" s="19"/>
    </row>
    <row r="121" spans="2:8" ht="15" customHeight="1" x14ac:dyDescent="0.2">
      <c r="B121" s="85" t="s">
        <v>56</v>
      </c>
      <c r="C121" s="85"/>
      <c r="D121" s="85"/>
      <c r="E121" s="44">
        <f>SUM(E112:E120)</f>
        <v>817.24814083400736</v>
      </c>
      <c r="H121" s="19"/>
    </row>
    <row r="122" spans="2:8" ht="15" customHeight="1" x14ac:dyDescent="0.2">
      <c r="B122" s="37"/>
    </row>
    <row r="123" spans="2:8" ht="15" customHeight="1" x14ac:dyDescent="0.2">
      <c r="B123" s="22" t="s">
        <v>168</v>
      </c>
    </row>
    <row r="124" spans="2:8" ht="15" customHeight="1" x14ac:dyDescent="0.2">
      <c r="B124" s="88" t="s">
        <v>91</v>
      </c>
      <c r="C124" s="88"/>
      <c r="D124" s="88"/>
      <c r="E124" s="10" t="s">
        <v>24</v>
      </c>
    </row>
    <row r="125" spans="2:8" ht="15" customHeight="1" x14ac:dyDescent="0.2">
      <c r="B125" s="28" t="s">
        <v>11</v>
      </c>
      <c r="C125" s="89" t="s">
        <v>92</v>
      </c>
      <c r="D125" s="90"/>
      <c r="E125" s="46">
        <f>E29</f>
        <v>1979.7270113636364</v>
      </c>
    </row>
    <row r="126" spans="2:8" ht="15" customHeight="1" x14ac:dyDescent="0.2">
      <c r="B126" s="28" t="s">
        <v>12</v>
      </c>
      <c r="C126" s="89" t="s">
        <v>93</v>
      </c>
      <c r="D126" s="90"/>
      <c r="E126" s="46">
        <f>E41</f>
        <v>515.04966000000002</v>
      </c>
    </row>
    <row r="127" spans="2:8" ht="15" customHeight="1" x14ac:dyDescent="0.2">
      <c r="B127" s="28" t="s">
        <v>13</v>
      </c>
      <c r="C127" s="89" t="s">
        <v>94</v>
      </c>
      <c r="D127" s="90"/>
      <c r="E127" s="46">
        <f>E49</f>
        <v>208.34333333333333</v>
      </c>
      <c r="F127" s="20"/>
    </row>
    <row r="128" spans="2:8" ht="15" customHeight="1" x14ac:dyDescent="0.2">
      <c r="B128" s="28" t="s">
        <v>14</v>
      </c>
      <c r="C128" s="89" t="s">
        <v>95</v>
      </c>
      <c r="D128" s="90"/>
      <c r="E128" s="46">
        <f>E108</f>
        <v>1484.6747215854139</v>
      </c>
      <c r="F128" s="20"/>
    </row>
    <row r="129" spans="2:8" ht="15" customHeight="1" x14ac:dyDescent="0.2">
      <c r="B129" s="85" t="s">
        <v>96</v>
      </c>
      <c r="C129" s="85"/>
      <c r="D129" s="85"/>
      <c r="E129" s="44">
        <f>SUM(E125:E128)</f>
        <v>4187.7947262823836</v>
      </c>
    </row>
    <row r="130" spans="2:8" ht="15" customHeight="1" x14ac:dyDescent="0.2">
      <c r="B130" s="28" t="s">
        <v>9</v>
      </c>
      <c r="C130" s="86" t="s">
        <v>97</v>
      </c>
      <c r="D130" s="86"/>
      <c r="E130" s="46">
        <f>E121</f>
        <v>817.24814083400736</v>
      </c>
    </row>
    <row r="131" spans="2:8" ht="15" customHeight="1" x14ac:dyDescent="0.2">
      <c r="B131" s="85" t="s">
        <v>98</v>
      </c>
      <c r="C131" s="85"/>
      <c r="D131" s="85"/>
      <c r="E131" s="44">
        <f>SUM(E129:E130)</f>
        <v>5005.0428671163909</v>
      </c>
    </row>
    <row r="132" spans="2:8" ht="15" customHeight="1" x14ac:dyDescent="0.2">
      <c r="B132" s="37"/>
    </row>
    <row r="133" spans="2:8" ht="15" customHeight="1" x14ac:dyDescent="0.2">
      <c r="B133" s="22" t="s">
        <v>99</v>
      </c>
    </row>
    <row r="134" spans="2:8" ht="50.25" customHeight="1" x14ac:dyDescent="0.2">
      <c r="B134" s="88" t="s">
        <v>17</v>
      </c>
      <c r="C134" s="88"/>
      <c r="D134" s="45" t="s">
        <v>169</v>
      </c>
      <c r="E134" s="10" t="s">
        <v>100</v>
      </c>
      <c r="F134" s="9" t="s">
        <v>171</v>
      </c>
      <c r="G134" s="9" t="s">
        <v>144</v>
      </c>
      <c r="H134" s="9" t="s">
        <v>101</v>
      </c>
    </row>
    <row r="135" spans="2:8" ht="15" customHeight="1" x14ac:dyDescent="0.2">
      <c r="B135" s="88" t="s">
        <v>102</v>
      </c>
      <c r="C135" s="88"/>
      <c r="D135" s="45" t="s">
        <v>170</v>
      </c>
      <c r="E135" s="10" t="s">
        <v>103</v>
      </c>
      <c r="F135" s="9" t="s">
        <v>104</v>
      </c>
      <c r="G135" s="9" t="s">
        <v>105</v>
      </c>
      <c r="H135" s="9" t="s">
        <v>106</v>
      </c>
    </row>
    <row r="136" spans="2:8" ht="15" customHeight="1" x14ac:dyDescent="0.2">
      <c r="B136" s="28" t="s">
        <v>39</v>
      </c>
      <c r="C136" s="16" t="s">
        <v>128</v>
      </c>
      <c r="D136" s="11">
        <f>E131</f>
        <v>5005.0428671163909</v>
      </c>
      <c r="E136" s="49">
        <v>2</v>
      </c>
      <c r="F136" s="11">
        <f>ROUND(D136*E136,2)</f>
        <v>10010.09</v>
      </c>
      <c r="G136" s="28">
        <v>1</v>
      </c>
      <c r="H136" s="11">
        <f>ROUND(F136*G136,2)</f>
        <v>10010.09</v>
      </c>
    </row>
    <row r="137" spans="2:8" ht="15" customHeight="1" x14ac:dyDescent="0.2">
      <c r="B137" s="28" t="s">
        <v>108</v>
      </c>
      <c r="C137" s="16" t="s">
        <v>109</v>
      </c>
      <c r="D137" s="11">
        <v>0</v>
      </c>
      <c r="E137" s="21"/>
      <c r="F137" s="11">
        <v>0</v>
      </c>
      <c r="G137" s="16"/>
      <c r="H137" s="11">
        <v>0</v>
      </c>
    </row>
    <row r="138" spans="2:8" ht="15" customHeight="1" x14ac:dyDescent="0.2">
      <c r="B138" s="16"/>
      <c r="C138" s="16"/>
      <c r="D138" s="34"/>
      <c r="E138" s="21"/>
      <c r="F138" s="16"/>
      <c r="G138" s="16"/>
      <c r="H138" s="16"/>
    </row>
    <row r="139" spans="2:8" ht="15" customHeight="1" x14ac:dyDescent="0.2">
      <c r="B139" s="85" t="s">
        <v>110</v>
      </c>
      <c r="C139" s="85"/>
      <c r="D139" s="85"/>
      <c r="E139" s="85"/>
      <c r="F139" s="85"/>
      <c r="G139" s="85"/>
      <c r="H139" s="48">
        <f>ROUND(SUM(H136:H138),2)</f>
        <v>10010.09</v>
      </c>
    </row>
    <row r="140" spans="2:8" ht="15" customHeight="1" x14ac:dyDescent="0.2">
      <c r="B140" s="37"/>
    </row>
    <row r="141" spans="2:8" ht="15" customHeight="1" x14ac:dyDescent="0.2">
      <c r="B141" s="22" t="s">
        <v>111</v>
      </c>
    </row>
    <row r="142" spans="2:8" ht="15" customHeight="1" x14ac:dyDescent="0.2">
      <c r="B142" s="88" t="s">
        <v>112</v>
      </c>
      <c r="C142" s="88"/>
      <c r="D142" s="88"/>
      <c r="E142" s="88"/>
      <c r="F142" s="88"/>
    </row>
    <row r="143" spans="2:8" ht="15" customHeight="1" x14ac:dyDescent="0.2">
      <c r="B143" s="24"/>
      <c r="C143" s="85" t="s">
        <v>113</v>
      </c>
      <c r="D143" s="85"/>
      <c r="E143" s="85"/>
      <c r="F143" s="27" t="s">
        <v>24</v>
      </c>
    </row>
    <row r="144" spans="2:8" ht="15" customHeight="1" x14ac:dyDescent="0.2">
      <c r="B144" s="28" t="s">
        <v>11</v>
      </c>
      <c r="C144" s="86" t="s">
        <v>114</v>
      </c>
      <c r="D144" s="86"/>
      <c r="E144" s="86"/>
      <c r="F144" s="11">
        <f>F136</f>
        <v>10010.09</v>
      </c>
    </row>
    <row r="145" spans="2:6" ht="15" customHeight="1" x14ac:dyDescent="0.2">
      <c r="B145" s="28" t="s">
        <v>12</v>
      </c>
      <c r="C145" s="86" t="s">
        <v>115</v>
      </c>
      <c r="D145" s="86"/>
      <c r="E145" s="86"/>
      <c r="F145" s="11">
        <f>H139</f>
        <v>10010.09</v>
      </c>
    </row>
    <row r="146" spans="2:6" ht="15" customHeight="1" x14ac:dyDescent="0.2">
      <c r="B146" s="28" t="s">
        <v>13</v>
      </c>
      <c r="C146" s="86" t="s">
        <v>116</v>
      </c>
      <c r="D146" s="86"/>
      <c r="E146" s="86"/>
      <c r="F146" s="11">
        <f>ROUND(F145*12,2)</f>
        <v>120121.08</v>
      </c>
    </row>
  </sheetData>
  <mergeCells count="49">
    <mergeCell ref="B14:D14"/>
    <mergeCell ref="B1:E3"/>
    <mergeCell ref="A4:E4"/>
    <mergeCell ref="B5:G5"/>
    <mergeCell ref="G7:G8"/>
    <mergeCell ref="B7:B8"/>
    <mergeCell ref="C7:C8"/>
    <mergeCell ref="D7:D8"/>
    <mergeCell ref="E7:E8"/>
    <mergeCell ref="F7:F8"/>
    <mergeCell ref="B76:C76"/>
    <mergeCell ref="C21:D21"/>
    <mergeCell ref="B29:D29"/>
    <mergeCell ref="C32:D32"/>
    <mergeCell ref="B41:D41"/>
    <mergeCell ref="C73:D73"/>
    <mergeCell ref="C44:D44"/>
    <mergeCell ref="B49:D49"/>
    <mergeCell ref="B62:C62"/>
    <mergeCell ref="C65:D65"/>
    <mergeCell ref="B70:C70"/>
    <mergeCell ref="C130:D130"/>
    <mergeCell ref="B129:D129"/>
    <mergeCell ref="C79:D79"/>
    <mergeCell ref="B86:C86"/>
    <mergeCell ref="C89:D89"/>
    <mergeCell ref="B96:C96"/>
    <mergeCell ref="B98:C98"/>
    <mergeCell ref="C101:D101"/>
    <mergeCell ref="B108:D108"/>
    <mergeCell ref="C113:E113"/>
    <mergeCell ref="C114:E114"/>
    <mergeCell ref="B121:D121"/>
    <mergeCell ref="C143:E143"/>
    <mergeCell ref="C144:E144"/>
    <mergeCell ref="C145:E145"/>
    <mergeCell ref="C146:E146"/>
    <mergeCell ref="B11:G11"/>
    <mergeCell ref="B131:D131"/>
    <mergeCell ref="B134:C134"/>
    <mergeCell ref="B135:C135"/>
    <mergeCell ref="B139:G139"/>
    <mergeCell ref="B142:F142"/>
    <mergeCell ref="B124:D124"/>
    <mergeCell ref="C125:D125"/>
    <mergeCell ref="C126:D126"/>
    <mergeCell ref="C127:D127"/>
    <mergeCell ref="C128:D128"/>
    <mergeCell ref="B68:C68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71" fitToHeight="0" orientation="portrait" r:id="rId1"/>
  <rowBreaks count="2" manualBreakCount="2">
    <brk id="49" max="8" man="1"/>
    <brk id="108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  <pageSetUpPr fitToPage="1"/>
  </sheetPr>
  <dimension ref="A1:K146"/>
  <sheetViews>
    <sheetView showGridLines="0" topLeftCell="A124" zoomScaleNormal="100" zoomScaleSheetLayoutView="100" workbookViewId="0">
      <selection activeCell="C32" sqref="C32:D32"/>
    </sheetView>
  </sheetViews>
  <sheetFormatPr defaultColWidth="10" defaultRowHeight="15" customHeight="1" x14ac:dyDescent="0.2"/>
  <cols>
    <col min="1" max="1" width="3.7109375" style="15" customWidth="1"/>
    <col min="2" max="2" width="8.42578125" style="15" customWidth="1"/>
    <col min="3" max="3" width="45.7109375" style="15" customWidth="1"/>
    <col min="4" max="4" width="15.28515625" style="23" customWidth="1"/>
    <col min="5" max="5" width="13.140625" style="20" customWidth="1"/>
    <col min="6" max="6" width="14.7109375" style="15" customWidth="1"/>
    <col min="7" max="7" width="13.7109375" style="15" customWidth="1"/>
    <col min="8" max="8" width="14.7109375" style="15" customWidth="1"/>
    <col min="9" max="9" width="3.7109375" style="15" customWidth="1"/>
    <col min="10" max="16384" width="10" style="15"/>
  </cols>
  <sheetData>
    <row r="1" spans="1:7" s="1" customFormat="1" ht="15" customHeight="1" x14ac:dyDescent="0.25">
      <c r="A1" s="54"/>
      <c r="B1" s="77"/>
      <c r="C1" s="77"/>
      <c r="D1" s="77"/>
      <c r="E1" s="77"/>
    </row>
    <row r="2" spans="1:7" s="1" customFormat="1" ht="15" customHeight="1" x14ac:dyDescent="0.25">
      <c r="A2" s="54"/>
      <c r="B2" s="77"/>
      <c r="C2" s="77"/>
      <c r="D2" s="77"/>
      <c r="E2" s="77"/>
    </row>
    <row r="3" spans="1:7" s="1" customFormat="1" ht="15" customHeight="1" x14ac:dyDescent="0.25">
      <c r="A3" s="54"/>
      <c r="B3" s="77"/>
      <c r="C3" s="77"/>
      <c r="D3" s="77"/>
      <c r="E3" s="77"/>
    </row>
    <row r="4" spans="1:7" s="1" customFormat="1" ht="15" customHeight="1" x14ac:dyDescent="0.25">
      <c r="A4" s="79"/>
      <c r="B4" s="79"/>
      <c r="C4" s="79"/>
      <c r="D4" s="79"/>
      <c r="E4" s="79"/>
    </row>
    <row r="5" spans="1:7" s="1" customFormat="1" ht="15" customHeight="1" x14ac:dyDescent="0.25">
      <c r="B5" s="81" t="s">
        <v>145</v>
      </c>
      <c r="C5" s="81"/>
      <c r="D5" s="81"/>
      <c r="E5" s="81"/>
      <c r="F5" s="81"/>
      <c r="G5" s="81"/>
    </row>
    <row r="6" spans="1:7" s="14" customFormat="1" ht="15" customHeight="1" x14ac:dyDescent="0.2">
      <c r="B6" s="101"/>
      <c r="C6" s="101"/>
      <c r="D6" s="101"/>
      <c r="E6" s="101"/>
      <c r="F6" s="101"/>
      <c r="G6" s="101"/>
    </row>
    <row r="7" spans="1:7" ht="15" customHeight="1" x14ac:dyDescent="0.2">
      <c r="B7" s="88" t="s">
        <v>2</v>
      </c>
      <c r="C7" s="88" t="s">
        <v>3</v>
      </c>
      <c r="D7" s="95" t="s">
        <v>4</v>
      </c>
      <c r="E7" s="96" t="s">
        <v>5</v>
      </c>
      <c r="F7" s="88" t="s">
        <v>6</v>
      </c>
      <c r="G7" s="88" t="s">
        <v>7</v>
      </c>
    </row>
    <row r="8" spans="1:7" ht="15" customHeight="1" x14ac:dyDescent="0.2">
      <c r="B8" s="88"/>
      <c r="C8" s="88"/>
      <c r="D8" s="95"/>
      <c r="E8" s="96"/>
      <c r="F8" s="88"/>
      <c r="G8" s="88"/>
    </row>
    <row r="9" spans="1:7" ht="15" customHeight="1" x14ac:dyDescent="0.2">
      <c r="B9" s="28">
        <v>1</v>
      </c>
      <c r="C9" s="16" t="s">
        <v>8</v>
      </c>
      <c r="D9" s="11">
        <f>F136</f>
        <v>11439.75</v>
      </c>
      <c r="E9" s="43">
        <v>1</v>
      </c>
      <c r="F9" s="11">
        <f>F145</f>
        <v>11439.75</v>
      </c>
      <c r="G9" s="11">
        <f>F146</f>
        <v>137277</v>
      </c>
    </row>
    <row r="10" spans="1:7" ht="15" customHeight="1" x14ac:dyDescent="0.2">
      <c r="B10" s="22"/>
    </row>
    <row r="11" spans="1:7" ht="15" customHeight="1" x14ac:dyDescent="0.2">
      <c r="B11" s="87" t="s">
        <v>10</v>
      </c>
      <c r="C11" s="87"/>
      <c r="D11" s="87"/>
      <c r="E11" s="87"/>
      <c r="F11" s="87"/>
      <c r="G11" s="87"/>
    </row>
    <row r="12" spans="1:7" ht="15" customHeight="1" x14ac:dyDescent="0.2">
      <c r="B12" s="22"/>
    </row>
    <row r="13" spans="1:7" ht="15" customHeight="1" x14ac:dyDescent="0.2">
      <c r="B13" s="22" t="s">
        <v>15</v>
      </c>
    </row>
    <row r="14" spans="1:7" ht="15" customHeight="1" x14ac:dyDescent="0.2">
      <c r="B14" s="98" t="s">
        <v>16</v>
      </c>
      <c r="C14" s="98"/>
      <c r="D14" s="98"/>
    </row>
    <row r="15" spans="1:7" ht="15" customHeight="1" x14ac:dyDescent="0.2">
      <c r="B15" s="28">
        <v>1</v>
      </c>
      <c r="C15" s="16" t="s">
        <v>17</v>
      </c>
      <c r="D15" s="25" t="s">
        <v>18</v>
      </c>
    </row>
    <row r="16" spans="1:7" ht="15" customHeight="1" x14ac:dyDescent="0.2">
      <c r="B16" s="28">
        <v>2</v>
      </c>
      <c r="C16" s="16" t="s">
        <v>19</v>
      </c>
      <c r="D16" s="73">
        <f>'Posto Diurno'!D16</f>
        <v>1381.57</v>
      </c>
      <c r="E16" s="15"/>
    </row>
    <row r="17" spans="2:11" ht="15" customHeight="1" x14ac:dyDescent="0.2">
      <c r="B17" s="28">
        <v>3</v>
      </c>
      <c r="C17" s="16" t="s">
        <v>20</v>
      </c>
      <c r="D17" s="25" t="s">
        <v>18</v>
      </c>
    </row>
    <row r="18" spans="2:11" ht="15" customHeight="1" x14ac:dyDescent="0.2">
      <c r="B18" s="28">
        <v>4</v>
      </c>
      <c r="C18" s="16" t="s">
        <v>21</v>
      </c>
      <c r="D18" s="26">
        <v>44593</v>
      </c>
    </row>
    <row r="19" spans="2:11" ht="15" customHeight="1" x14ac:dyDescent="0.2">
      <c r="B19" s="29"/>
      <c r="C19" s="17"/>
      <c r="D19" s="30"/>
    </row>
    <row r="20" spans="2:11" ht="15" customHeight="1" x14ac:dyDescent="0.2">
      <c r="B20" s="22" t="s">
        <v>22</v>
      </c>
    </row>
    <row r="21" spans="2:11" ht="15" customHeight="1" x14ac:dyDescent="0.2">
      <c r="B21" s="9">
        <v>1</v>
      </c>
      <c r="C21" s="88" t="s">
        <v>23</v>
      </c>
      <c r="D21" s="88"/>
      <c r="E21" s="10" t="s">
        <v>24</v>
      </c>
    </row>
    <row r="22" spans="2:11" ht="15" customHeight="1" x14ac:dyDescent="0.2">
      <c r="B22" s="28" t="s">
        <v>11</v>
      </c>
      <c r="C22" s="31" t="s">
        <v>25</v>
      </c>
      <c r="D22" s="32"/>
      <c r="E22" s="33">
        <f>D16</f>
        <v>1381.57</v>
      </c>
      <c r="F22" s="100"/>
      <c r="G22" s="100"/>
      <c r="H22" s="100"/>
    </row>
    <row r="23" spans="2:11" ht="15" customHeight="1" x14ac:dyDescent="0.2">
      <c r="B23" s="28" t="s">
        <v>12</v>
      </c>
      <c r="C23" s="16" t="s">
        <v>26</v>
      </c>
      <c r="D23" s="25">
        <v>0.3</v>
      </c>
      <c r="E23" s="33">
        <f>D23*E22</f>
        <v>414.47099999999995</v>
      </c>
    </row>
    <row r="24" spans="2:11" ht="15" customHeight="1" x14ac:dyDescent="0.2">
      <c r="B24" s="28" t="s">
        <v>13</v>
      </c>
      <c r="C24" s="16" t="s">
        <v>27</v>
      </c>
      <c r="D24" s="25">
        <v>0</v>
      </c>
      <c r="E24" s="33">
        <v>0</v>
      </c>
    </row>
    <row r="25" spans="2:11" ht="15" customHeight="1" x14ac:dyDescent="0.2">
      <c r="B25" s="28" t="s">
        <v>14</v>
      </c>
      <c r="C25" s="16" t="s">
        <v>28</v>
      </c>
      <c r="D25" s="25">
        <v>0</v>
      </c>
      <c r="E25" s="33">
        <f>(E22+E23)/220*0.2*15*7</f>
        <v>171.44027727272726</v>
      </c>
    </row>
    <row r="26" spans="2:11" ht="15" customHeight="1" x14ac:dyDescent="0.2">
      <c r="B26" s="28" t="s">
        <v>9</v>
      </c>
      <c r="C26" s="16" t="s">
        <v>146</v>
      </c>
      <c r="D26" s="25">
        <v>0</v>
      </c>
      <c r="E26" s="33">
        <f>(E22+E23+E25)/220*1.5*15</f>
        <v>201.21967608471073</v>
      </c>
    </row>
    <row r="27" spans="2:11" ht="15" customHeight="1" x14ac:dyDescent="0.2">
      <c r="B27" s="28" t="s">
        <v>30</v>
      </c>
      <c r="C27" s="16" t="s">
        <v>31</v>
      </c>
      <c r="D27" s="25">
        <v>0</v>
      </c>
      <c r="E27" s="33">
        <f>E22*D27</f>
        <v>0</v>
      </c>
    </row>
    <row r="28" spans="2:11" ht="15" customHeight="1" x14ac:dyDescent="0.2">
      <c r="B28" s="28" t="s">
        <v>32</v>
      </c>
      <c r="C28" s="16" t="s">
        <v>140</v>
      </c>
      <c r="D28" s="25"/>
      <c r="E28" s="33">
        <f>SUM(E22)/220*1.5*15</f>
        <v>141.2969318181818</v>
      </c>
      <c r="I28" s="35"/>
      <c r="J28" s="35"/>
      <c r="K28" s="35"/>
    </row>
    <row r="29" spans="2:11" ht="15" customHeight="1" x14ac:dyDescent="0.2">
      <c r="B29" s="91" t="s">
        <v>35</v>
      </c>
      <c r="C29" s="94"/>
      <c r="D29" s="92"/>
      <c r="E29" s="36">
        <f>E22+E23+E24+E25+E26+E27+E28</f>
        <v>2309.99788517562</v>
      </c>
    </row>
    <row r="30" spans="2:11" ht="15" customHeight="1" x14ac:dyDescent="0.2">
      <c r="B30" s="37"/>
    </row>
    <row r="31" spans="2:11" ht="15" customHeight="1" x14ac:dyDescent="0.2">
      <c r="B31" s="22" t="s">
        <v>36</v>
      </c>
    </row>
    <row r="32" spans="2:11" ht="15" customHeight="1" x14ac:dyDescent="0.2">
      <c r="B32" s="9">
        <v>2</v>
      </c>
      <c r="C32" s="88" t="s">
        <v>37</v>
      </c>
      <c r="D32" s="88"/>
      <c r="E32" s="10" t="s">
        <v>24</v>
      </c>
    </row>
    <row r="33" spans="2:9" ht="15" customHeight="1" x14ac:dyDescent="0.2">
      <c r="B33" s="28" t="s">
        <v>11</v>
      </c>
      <c r="C33" s="38" t="s">
        <v>176</v>
      </c>
      <c r="D33" s="25"/>
      <c r="E33" s="39">
        <f>(3.9*15*2)</f>
        <v>117</v>
      </c>
      <c r="F33" s="17"/>
      <c r="G33" s="18"/>
      <c r="I33" s="40"/>
    </row>
    <row r="34" spans="2:9" ht="15" customHeight="1" x14ac:dyDescent="0.2">
      <c r="B34" s="28" t="s">
        <v>13</v>
      </c>
      <c r="C34" s="38" t="s">
        <v>177</v>
      </c>
      <c r="D34" s="25"/>
      <c r="E34" s="39">
        <f>22.12*15</f>
        <v>331.8</v>
      </c>
    </row>
    <row r="35" spans="2:9" ht="15" customHeight="1" x14ac:dyDescent="0.2">
      <c r="B35" s="28" t="s">
        <v>14</v>
      </c>
      <c r="C35" s="16" t="s">
        <v>149</v>
      </c>
      <c r="D35" s="25">
        <v>3.7999999999999999E-2</v>
      </c>
      <c r="E35" s="59">
        <f>D35*E22</f>
        <v>52.499659999999999</v>
      </c>
    </row>
    <row r="36" spans="2:9" ht="15" customHeight="1" x14ac:dyDescent="0.2">
      <c r="B36" s="28" t="s">
        <v>9</v>
      </c>
      <c r="C36" s="16" t="s">
        <v>38</v>
      </c>
      <c r="D36" s="25"/>
      <c r="E36" s="59">
        <v>0</v>
      </c>
    </row>
    <row r="37" spans="2:9" ht="15" customHeight="1" x14ac:dyDescent="0.2">
      <c r="B37" s="28" t="s">
        <v>30</v>
      </c>
      <c r="C37" s="16" t="s">
        <v>150</v>
      </c>
      <c r="D37" s="25"/>
      <c r="E37" s="59">
        <f>SUM(15.5+12)/2</f>
        <v>13.75</v>
      </c>
    </row>
    <row r="38" spans="2:9" ht="15" customHeight="1" x14ac:dyDescent="0.2">
      <c r="B38" s="28" t="s">
        <v>32</v>
      </c>
      <c r="C38" s="16" t="s">
        <v>152</v>
      </c>
      <c r="D38" s="25"/>
      <c r="E38" s="59">
        <v>0</v>
      </c>
    </row>
    <row r="39" spans="2:9" ht="15" customHeight="1" x14ac:dyDescent="0.2">
      <c r="B39" s="28" t="s">
        <v>33</v>
      </c>
      <c r="C39" s="16" t="s">
        <v>151</v>
      </c>
      <c r="D39" s="25"/>
      <c r="E39" s="59">
        <v>0</v>
      </c>
    </row>
    <row r="40" spans="2:9" ht="15" customHeight="1" x14ac:dyDescent="0.2">
      <c r="B40" s="28" t="s">
        <v>39</v>
      </c>
      <c r="C40" s="16" t="s">
        <v>141</v>
      </c>
      <c r="D40" s="25"/>
      <c r="E40" s="59">
        <v>0</v>
      </c>
    </row>
    <row r="41" spans="2:9" ht="15" customHeight="1" x14ac:dyDescent="0.2">
      <c r="B41" s="85" t="s">
        <v>40</v>
      </c>
      <c r="C41" s="85"/>
      <c r="D41" s="85"/>
      <c r="E41" s="60">
        <f>SUM(E33:E40)</f>
        <v>515.04966000000002</v>
      </c>
    </row>
    <row r="42" spans="2:9" ht="15" customHeight="1" x14ac:dyDescent="0.2">
      <c r="B42" s="37"/>
    </row>
    <row r="43" spans="2:9" ht="15" customHeight="1" x14ac:dyDescent="0.2">
      <c r="B43" s="22" t="s">
        <v>41</v>
      </c>
    </row>
    <row r="44" spans="2:9" ht="15" customHeight="1" x14ac:dyDescent="0.2">
      <c r="B44" s="9">
        <v>3</v>
      </c>
      <c r="C44" s="97" t="s">
        <v>42</v>
      </c>
      <c r="D44" s="97"/>
      <c r="E44" s="10" t="s">
        <v>24</v>
      </c>
    </row>
    <row r="45" spans="2:9" ht="15" customHeight="1" x14ac:dyDescent="0.2">
      <c r="B45" s="28" t="s">
        <v>11</v>
      </c>
      <c r="C45" s="16" t="s">
        <v>129</v>
      </c>
      <c r="D45" s="34"/>
      <c r="E45" s="11">
        <f>Insumos!G13</f>
        <v>41.08</v>
      </c>
      <c r="F45" s="99"/>
      <c r="G45" s="99"/>
      <c r="H45" s="99"/>
    </row>
    <row r="46" spans="2:9" ht="15" customHeight="1" x14ac:dyDescent="0.2">
      <c r="B46" s="28" t="s">
        <v>12</v>
      </c>
      <c r="C46" s="16" t="s">
        <v>130</v>
      </c>
      <c r="D46" s="34"/>
      <c r="E46" s="11">
        <f>Insumos!G20</f>
        <v>37.54</v>
      </c>
      <c r="F46" s="13"/>
      <c r="G46" s="13"/>
      <c r="H46" s="13"/>
    </row>
    <row r="47" spans="2:9" ht="15" customHeight="1" x14ac:dyDescent="0.2">
      <c r="B47" s="28" t="s">
        <v>13</v>
      </c>
      <c r="C47" s="16" t="s">
        <v>131</v>
      </c>
      <c r="D47" s="34"/>
      <c r="E47" s="11">
        <f>Insumos!G28</f>
        <v>149.88</v>
      </c>
      <c r="F47" s="99"/>
      <c r="G47" s="99"/>
      <c r="H47" s="99"/>
    </row>
    <row r="48" spans="2:9" ht="15" customHeight="1" x14ac:dyDescent="0.2">
      <c r="B48" s="28" t="s">
        <v>14</v>
      </c>
      <c r="C48" s="16" t="s">
        <v>132</v>
      </c>
      <c r="D48" s="34"/>
      <c r="E48" s="11">
        <v>0</v>
      </c>
    </row>
    <row r="49" spans="2:5" ht="15" customHeight="1" x14ac:dyDescent="0.2">
      <c r="B49" s="85" t="s">
        <v>43</v>
      </c>
      <c r="C49" s="85"/>
      <c r="D49" s="85"/>
      <c r="E49" s="44">
        <f>SUM(E45:E48)</f>
        <v>228.5</v>
      </c>
    </row>
    <row r="50" spans="2:5" ht="15" customHeight="1" x14ac:dyDescent="0.2">
      <c r="B50" s="22"/>
    </row>
    <row r="51" spans="2:5" ht="15" customHeight="1" x14ac:dyDescent="0.2">
      <c r="B51" s="22" t="s">
        <v>44</v>
      </c>
    </row>
    <row r="52" spans="2:5" ht="15" customHeight="1" x14ac:dyDescent="0.2">
      <c r="B52" s="37" t="s">
        <v>45</v>
      </c>
    </row>
    <row r="53" spans="2:5" ht="15" customHeight="1" x14ac:dyDescent="0.2">
      <c r="B53" s="9" t="s">
        <v>46</v>
      </c>
      <c r="C53" s="9" t="s">
        <v>47</v>
      </c>
      <c r="D53" s="45" t="s">
        <v>48</v>
      </c>
      <c r="E53" s="10" t="s">
        <v>24</v>
      </c>
    </row>
    <row r="54" spans="2:5" ht="15" customHeight="1" x14ac:dyDescent="0.2">
      <c r="B54" s="28" t="s">
        <v>11</v>
      </c>
      <c r="C54" s="16" t="s">
        <v>49</v>
      </c>
      <c r="D54" s="25">
        <v>0.2</v>
      </c>
      <c r="E54" s="46">
        <f>E29*0.2</f>
        <v>461.99957703512405</v>
      </c>
    </row>
    <row r="55" spans="2:5" ht="15" customHeight="1" x14ac:dyDescent="0.2">
      <c r="B55" s="28" t="s">
        <v>12</v>
      </c>
      <c r="C55" s="16" t="s">
        <v>50</v>
      </c>
      <c r="D55" s="25">
        <v>1.4999999999999999E-2</v>
      </c>
      <c r="E55" s="46">
        <f>E29*0.015</f>
        <v>34.649968277634301</v>
      </c>
    </row>
    <row r="56" spans="2:5" ht="15" customHeight="1" x14ac:dyDescent="0.2">
      <c r="B56" s="28" t="s">
        <v>13</v>
      </c>
      <c r="C56" s="16" t="s">
        <v>51</v>
      </c>
      <c r="D56" s="25">
        <v>0.01</v>
      </c>
      <c r="E56" s="46">
        <f>E29*0.01</f>
        <v>23.099978851756202</v>
      </c>
    </row>
    <row r="57" spans="2:5" ht="15" customHeight="1" x14ac:dyDescent="0.2">
      <c r="B57" s="28" t="s">
        <v>14</v>
      </c>
      <c r="C57" s="16" t="s">
        <v>52</v>
      </c>
      <c r="D57" s="25">
        <v>2E-3</v>
      </c>
      <c r="E57" s="46">
        <f>E29*0.002</f>
        <v>4.61999577035124</v>
      </c>
    </row>
    <row r="58" spans="2:5" ht="15" customHeight="1" x14ac:dyDescent="0.2">
      <c r="B58" s="28" t="s">
        <v>9</v>
      </c>
      <c r="C58" s="16" t="s">
        <v>53</v>
      </c>
      <c r="D58" s="25">
        <v>2.5000000000000001E-2</v>
      </c>
      <c r="E58" s="46">
        <f>E29*0.025</f>
        <v>57.749947129390506</v>
      </c>
    </row>
    <row r="59" spans="2:5" ht="15" customHeight="1" x14ac:dyDescent="0.2">
      <c r="B59" s="28" t="s">
        <v>30</v>
      </c>
      <c r="C59" s="16" t="s">
        <v>54</v>
      </c>
      <c r="D59" s="25">
        <v>0.08</v>
      </c>
      <c r="E59" s="46">
        <f>E29*0.08</f>
        <v>184.79983081404961</v>
      </c>
    </row>
    <row r="60" spans="2:5" ht="15" customHeight="1" x14ac:dyDescent="0.2">
      <c r="B60" s="28" t="s">
        <v>32</v>
      </c>
      <c r="C60" s="16" t="s">
        <v>154</v>
      </c>
      <c r="D60" s="25">
        <v>0.03</v>
      </c>
      <c r="E60" s="46">
        <f>E29*0.03</f>
        <v>69.299936555268602</v>
      </c>
    </row>
    <row r="61" spans="2:5" ht="15" customHeight="1" x14ac:dyDescent="0.2">
      <c r="B61" s="28" t="s">
        <v>33</v>
      </c>
      <c r="C61" s="16" t="s">
        <v>55</v>
      </c>
      <c r="D61" s="25">
        <v>6.0000000000000001E-3</v>
      </c>
      <c r="E61" s="46">
        <f>E29*0.006</f>
        <v>13.85998731105372</v>
      </c>
    </row>
    <row r="62" spans="2:5" ht="15" customHeight="1" x14ac:dyDescent="0.2">
      <c r="B62" s="85" t="s">
        <v>56</v>
      </c>
      <c r="C62" s="85"/>
      <c r="D62" s="27">
        <f>SUM(D54:D61)</f>
        <v>0.3680000000000001</v>
      </c>
      <c r="E62" s="44">
        <f>SUM(E54:E61)</f>
        <v>850.07922174462828</v>
      </c>
    </row>
    <row r="63" spans="2:5" ht="15" customHeight="1" x14ac:dyDescent="0.2">
      <c r="B63" s="37"/>
    </row>
    <row r="64" spans="2:5" ht="15" customHeight="1" x14ac:dyDescent="0.2">
      <c r="B64" s="37" t="s">
        <v>57</v>
      </c>
    </row>
    <row r="65" spans="2:5" ht="15" customHeight="1" x14ac:dyDescent="0.2">
      <c r="B65" s="9" t="s">
        <v>58</v>
      </c>
      <c r="C65" s="88" t="s">
        <v>59</v>
      </c>
      <c r="D65" s="88"/>
      <c r="E65" s="10" t="s">
        <v>24</v>
      </c>
    </row>
    <row r="66" spans="2:5" ht="15" customHeight="1" x14ac:dyDescent="0.2">
      <c r="B66" s="28" t="s">
        <v>11</v>
      </c>
      <c r="C66" s="16" t="s">
        <v>118</v>
      </c>
      <c r="D66" s="25">
        <f>5/56</f>
        <v>8.9285714285714288E-2</v>
      </c>
      <c r="E66" s="11">
        <f>D66*E29</f>
        <v>206.24981117639464</v>
      </c>
    </row>
    <row r="67" spans="2:5" ht="15" customHeight="1" x14ac:dyDescent="0.2">
      <c r="B67" s="28" t="s">
        <v>12</v>
      </c>
      <c r="C67" s="16" t="s">
        <v>153</v>
      </c>
      <c r="D67" s="25">
        <f>(1/3)*D66</f>
        <v>2.976190476190476E-2</v>
      </c>
      <c r="E67" s="11">
        <f>E29*D67</f>
        <v>68.74993705879821</v>
      </c>
    </row>
    <row r="68" spans="2:5" ht="15" customHeight="1" x14ac:dyDescent="0.2">
      <c r="B68" s="91" t="s">
        <v>60</v>
      </c>
      <c r="C68" s="92"/>
      <c r="D68" s="27">
        <f>D66+D67</f>
        <v>0.11904761904761904</v>
      </c>
      <c r="E68" s="11">
        <f>SUM(E66:E67)</f>
        <v>274.99974823519284</v>
      </c>
    </row>
    <row r="69" spans="2:5" ht="25.5" x14ac:dyDescent="0.2">
      <c r="B69" s="28" t="s">
        <v>13</v>
      </c>
      <c r="C69" s="16" t="s">
        <v>61</v>
      </c>
      <c r="D69" s="25">
        <f>D62</f>
        <v>0.3680000000000001</v>
      </c>
      <c r="E69" s="11">
        <f>D69*E68</f>
        <v>101.19990735055099</v>
      </c>
    </row>
    <row r="70" spans="2:5" ht="15" customHeight="1" x14ac:dyDescent="0.2">
      <c r="B70" s="85" t="s">
        <v>56</v>
      </c>
      <c r="C70" s="85"/>
      <c r="D70" s="27">
        <f>SUM(D68:D69)</f>
        <v>0.48704761904761917</v>
      </c>
      <c r="E70" s="12">
        <f>SUM(E68:E69)</f>
        <v>376.19965558574381</v>
      </c>
    </row>
    <row r="71" spans="2:5" ht="15" customHeight="1" x14ac:dyDescent="0.2">
      <c r="B71" s="37"/>
    </row>
    <row r="72" spans="2:5" ht="15" customHeight="1" x14ac:dyDescent="0.2">
      <c r="B72" s="37" t="s">
        <v>62</v>
      </c>
    </row>
    <row r="73" spans="2:5" ht="15" customHeight="1" x14ac:dyDescent="0.2">
      <c r="B73" s="9" t="s">
        <v>63</v>
      </c>
      <c r="C73" s="88" t="s">
        <v>64</v>
      </c>
      <c r="D73" s="88"/>
      <c r="E73" s="10" t="s">
        <v>24</v>
      </c>
    </row>
    <row r="74" spans="2:5" ht="15" customHeight="1" x14ac:dyDescent="0.2">
      <c r="B74" s="28" t="s">
        <v>11</v>
      </c>
      <c r="C74" s="16" t="s">
        <v>64</v>
      </c>
      <c r="D74" s="25">
        <v>1.37E-2</v>
      </c>
      <c r="E74" s="11">
        <f>E29*D74</f>
        <v>31.646971026905995</v>
      </c>
    </row>
    <row r="75" spans="2:5" ht="25.5" x14ac:dyDescent="0.2">
      <c r="B75" s="28" t="s">
        <v>12</v>
      </c>
      <c r="C75" s="16" t="s">
        <v>65</v>
      </c>
      <c r="D75" s="25">
        <f>D62*D74</f>
        <v>5.041600000000002E-3</v>
      </c>
      <c r="E75" s="11">
        <f>E74*D75</f>
        <v>0.15955136912924933</v>
      </c>
    </row>
    <row r="76" spans="2:5" ht="15" customHeight="1" x14ac:dyDescent="0.2">
      <c r="B76" s="85" t="s">
        <v>56</v>
      </c>
      <c r="C76" s="85"/>
      <c r="D76" s="27">
        <f>SUM(D74:D75)</f>
        <v>1.8741600000000004E-2</v>
      </c>
      <c r="E76" s="44">
        <f>SUM(E74:E75)</f>
        <v>31.806522396035245</v>
      </c>
    </row>
    <row r="77" spans="2:5" ht="15" customHeight="1" x14ac:dyDescent="0.2">
      <c r="B77" s="37"/>
      <c r="C77" s="42"/>
    </row>
    <row r="78" spans="2:5" ht="15" customHeight="1" x14ac:dyDescent="0.2">
      <c r="B78" s="37" t="s">
        <v>66</v>
      </c>
    </row>
    <row r="79" spans="2:5" ht="15" customHeight="1" x14ac:dyDescent="0.2">
      <c r="B79" s="9" t="s">
        <v>67</v>
      </c>
      <c r="C79" s="88" t="s">
        <v>68</v>
      </c>
      <c r="D79" s="88"/>
      <c r="E79" s="10" t="s">
        <v>24</v>
      </c>
    </row>
    <row r="80" spans="2:5" ht="15" customHeight="1" x14ac:dyDescent="0.2">
      <c r="B80" s="28" t="s">
        <v>11</v>
      </c>
      <c r="C80" s="16" t="s">
        <v>119</v>
      </c>
      <c r="D80" s="25">
        <f xml:space="preserve"> ((1/12)* 0.05)</f>
        <v>4.1666666666666666E-3</v>
      </c>
      <c r="E80" s="11">
        <f>E29*D80</f>
        <v>9.6249911882317498</v>
      </c>
    </row>
    <row r="81" spans="2:5" ht="25.5" x14ac:dyDescent="0.2">
      <c r="B81" s="28" t="s">
        <v>12</v>
      </c>
      <c r="C81" s="16" t="s">
        <v>69</v>
      </c>
      <c r="D81" s="25">
        <f>D59*D80</f>
        <v>3.3333333333333332E-4</v>
      </c>
      <c r="E81" s="11">
        <f>E29*D81</f>
        <v>0.76999929505853992</v>
      </c>
    </row>
    <row r="82" spans="2:5" ht="15" customHeight="1" x14ac:dyDescent="0.2">
      <c r="B82" s="28" t="s">
        <v>13</v>
      </c>
      <c r="C82" s="16" t="s">
        <v>70</v>
      </c>
      <c r="D82" s="25">
        <f>0.08*0.5*0.9*(1 + 5/56+5/56+1/3*5/56)</f>
        <v>4.3499999999999997E-2</v>
      </c>
      <c r="E82" s="11">
        <f>D82*E29</f>
        <v>100.48490800513946</v>
      </c>
    </row>
    <row r="83" spans="2:5" ht="15" customHeight="1" x14ac:dyDescent="0.2">
      <c r="B83" s="28" t="s">
        <v>14</v>
      </c>
      <c r="C83" s="16" t="s">
        <v>71</v>
      </c>
      <c r="D83" s="25">
        <f xml:space="preserve"> ((7/30)/12)*0.02</f>
        <v>3.8888888888888892E-4</v>
      </c>
      <c r="E83" s="11">
        <f>E29*D83</f>
        <v>0.89833251090163013</v>
      </c>
    </row>
    <row r="84" spans="2:5" ht="25.5" x14ac:dyDescent="0.2">
      <c r="B84" s="28" t="s">
        <v>9</v>
      </c>
      <c r="C84" s="16" t="s">
        <v>72</v>
      </c>
      <c r="D84" s="25">
        <f>D62</f>
        <v>0.3680000000000001</v>
      </c>
      <c r="E84" s="11">
        <f>E83*D62</f>
        <v>0.33058636401179997</v>
      </c>
    </row>
    <row r="85" spans="2:5" ht="15" customHeight="1" x14ac:dyDescent="0.2">
      <c r="B85" s="28" t="s">
        <v>30</v>
      </c>
      <c r="C85" s="16" t="s">
        <v>73</v>
      </c>
      <c r="D85" s="25">
        <f>(40%)*D59</f>
        <v>3.2000000000000001E-2</v>
      </c>
      <c r="E85" s="11">
        <f>D85*E83</f>
        <v>2.8746640348852166E-2</v>
      </c>
    </row>
    <row r="86" spans="2:5" ht="15" customHeight="1" x14ac:dyDescent="0.2">
      <c r="B86" s="85" t="s">
        <v>56</v>
      </c>
      <c r="C86" s="85"/>
      <c r="D86" s="27">
        <f>SUM(D80:D85)</f>
        <v>0.44838888888888895</v>
      </c>
      <c r="E86" s="12">
        <f>SUM(E80:E85)</f>
        <v>112.13756400369202</v>
      </c>
    </row>
    <row r="87" spans="2:5" ht="15" customHeight="1" x14ac:dyDescent="0.2">
      <c r="B87" s="37"/>
    </row>
    <row r="88" spans="2:5" ht="15" customHeight="1" x14ac:dyDescent="0.2">
      <c r="B88" s="37" t="s">
        <v>74</v>
      </c>
    </row>
    <row r="89" spans="2:5" ht="15" customHeight="1" x14ac:dyDescent="0.2">
      <c r="B89" s="9" t="s">
        <v>75</v>
      </c>
      <c r="C89" s="88" t="s">
        <v>76</v>
      </c>
      <c r="D89" s="88"/>
      <c r="E89" s="10" t="s">
        <v>24</v>
      </c>
    </row>
    <row r="90" spans="2:5" ht="15" customHeight="1" x14ac:dyDescent="0.2">
      <c r="B90" s="28" t="s">
        <v>11</v>
      </c>
      <c r="C90" s="16" t="s">
        <v>120</v>
      </c>
      <c r="D90" s="25">
        <f>(5/56)</f>
        <v>8.9285714285714288E-2</v>
      </c>
      <c r="E90" s="11">
        <f>E29*D90</f>
        <v>206.24981117639464</v>
      </c>
    </row>
    <row r="91" spans="2:5" ht="15" customHeight="1" x14ac:dyDescent="0.2">
      <c r="B91" s="28" t="s">
        <v>12</v>
      </c>
      <c r="C91" s="16" t="s">
        <v>121</v>
      </c>
      <c r="D91" s="25">
        <f>(5.96/30)/12</f>
        <v>1.6555555555555556E-2</v>
      </c>
      <c r="E91" s="11">
        <f>E29*D91</f>
        <v>38.243298321240822</v>
      </c>
    </row>
    <row r="92" spans="2:5" ht="15" customHeight="1" x14ac:dyDescent="0.2">
      <c r="B92" s="28" t="s">
        <v>13</v>
      </c>
      <c r="C92" s="16" t="s">
        <v>142</v>
      </c>
      <c r="D92" s="25">
        <f>((5/30)/12)*0.015</f>
        <v>2.0833333333333332E-4</v>
      </c>
      <c r="E92" s="11">
        <f>E29*D92</f>
        <v>0.48124955941158748</v>
      </c>
    </row>
    <row r="93" spans="2:5" ht="15" customHeight="1" x14ac:dyDescent="0.2">
      <c r="B93" s="28" t="s">
        <v>14</v>
      </c>
      <c r="C93" s="16" t="s">
        <v>77</v>
      </c>
      <c r="D93" s="25">
        <f>(2.96/30)*(1/12)</f>
        <v>8.222222222222221E-3</v>
      </c>
      <c r="E93" s="11">
        <f>E29*D93</f>
        <v>18.993315944777319</v>
      </c>
    </row>
    <row r="94" spans="2:5" ht="15" customHeight="1" x14ac:dyDescent="0.2">
      <c r="B94" s="28" t="s">
        <v>9</v>
      </c>
      <c r="C94" s="16" t="s">
        <v>122</v>
      </c>
      <c r="D94" s="25">
        <f xml:space="preserve"> ((15/30)/12)*0.0078</f>
        <v>3.2499999999999999E-4</v>
      </c>
      <c r="E94" s="11">
        <f>E29*D94</f>
        <v>0.75074931268207645</v>
      </c>
    </row>
    <row r="95" spans="2:5" ht="15" customHeight="1" x14ac:dyDescent="0.2">
      <c r="B95" s="28" t="s">
        <v>30</v>
      </c>
      <c r="C95" s="16" t="s">
        <v>34</v>
      </c>
      <c r="D95" s="25">
        <v>0</v>
      </c>
      <c r="E95" s="11">
        <v>0</v>
      </c>
    </row>
    <row r="96" spans="2:5" ht="15" customHeight="1" x14ac:dyDescent="0.2">
      <c r="B96" s="85" t="s">
        <v>60</v>
      </c>
      <c r="C96" s="85"/>
      <c r="D96" s="27">
        <f>SUM(D90:D95)</f>
        <v>0.11459682539682541</v>
      </c>
      <c r="E96" s="12">
        <f>SUM(E90:E95)</f>
        <v>264.71842431450648</v>
      </c>
    </row>
    <row r="97" spans="2:5" ht="15" customHeight="1" x14ac:dyDescent="0.2">
      <c r="B97" s="28" t="s">
        <v>32</v>
      </c>
      <c r="C97" s="16" t="s">
        <v>78</v>
      </c>
      <c r="D97" s="25">
        <f>D62</f>
        <v>0.3680000000000001</v>
      </c>
      <c r="E97" s="11">
        <f>E96*D97</f>
        <v>97.416380147738408</v>
      </c>
    </row>
    <row r="98" spans="2:5" ht="15" customHeight="1" x14ac:dyDescent="0.2">
      <c r="B98" s="85" t="s">
        <v>56</v>
      </c>
      <c r="C98" s="85"/>
      <c r="D98" s="27">
        <f>SUM(D96:D97)</f>
        <v>0.48259682539682552</v>
      </c>
      <c r="E98" s="12">
        <f>SUM(E96:E97)</f>
        <v>362.13480446224492</v>
      </c>
    </row>
    <row r="99" spans="2:5" ht="15" customHeight="1" x14ac:dyDescent="0.2">
      <c r="B99" s="37"/>
    </row>
    <row r="100" spans="2:5" ht="15" customHeight="1" x14ac:dyDescent="0.2">
      <c r="B100" s="22" t="s">
        <v>79</v>
      </c>
    </row>
    <row r="101" spans="2:5" ht="15" customHeight="1" x14ac:dyDescent="0.2">
      <c r="B101" s="9">
        <v>4</v>
      </c>
      <c r="C101" s="88" t="s">
        <v>80</v>
      </c>
      <c r="D101" s="88"/>
      <c r="E101" s="47" t="s">
        <v>24</v>
      </c>
    </row>
    <row r="102" spans="2:5" ht="15" customHeight="1" x14ac:dyDescent="0.2">
      <c r="B102" s="28" t="s">
        <v>46</v>
      </c>
      <c r="C102" s="16" t="s">
        <v>81</v>
      </c>
      <c r="D102" s="34"/>
      <c r="E102" s="11">
        <f>E70</f>
        <v>376.19965558574381</v>
      </c>
    </row>
    <row r="103" spans="2:5" ht="15" customHeight="1" x14ac:dyDescent="0.2">
      <c r="B103" s="28" t="s">
        <v>58</v>
      </c>
      <c r="C103" s="16" t="s">
        <v>82</v>
      </c>
      <c r="D103" s="34"/>
      <c r="E103" s="11">
        <f>E62</f>
        <v>850.07922174462828</v>
      </c>
    </row>
    <row r="104" spans="2:5" ht="15" customHeight="1" x14ac:dyDescent="0.2">
      <c r="B104" s="28" t="s">
        <v>63</v>
      </c>
      <c r="C104" s="16" t="s">
        <v>64</v>
      </c>
      <c r="D104" s="34"/>
      <c r="E104" s="11">
        <f>E76</f>
        <v>31.806522396035245</v>
      </c>
    </row>
    <row r="105" spans="2:5" ht="15" customHeight="1" x14ac:dyDescent="0.2">
      <c r="B105" s="28" t="s">
        <v>67</v>
      </c>
      <c r="C105" s="16" t="s">
        <v>83</v>
      </c>
      <c r="D105" s="34"/>
      <c r="E105" s="11">
        <f>E86</f>
        <v>112.13756400369202</v>
      </c>
    </row>
    <row r="106" spans="2:5" ht="15" customHeight="1" x14ac:dyDescent="0.2">
      <c r="B106" s="28" t="s">
        <v>75</v>
      </c>
      <c r="C106" s="16" t="s">
        <v>84</v>
      </c>
      <c r="D106" s="34"/>
      <c r="E106" s="11">
        <f>E98</f>
        <v>362.13480446224492</v>
      </c>
    </row>
    <row r="107" spans="2:5" ht="15" customHeight="1" x14ac:dyDescent="0.2">
      <c r="B107" s="28" t="s">
        <v>85</v>
      </c>
      <c r="C107" s="16" t="s">
        <v>34</v>
      </c>
      <c r="D107" s="34"/>
      <c r="E107" s="11">
        <v>0</v>
      </c>
    </row>
    <row r="108" spans="2:5" ht="15" customHeight="1" x14ac:dyDescent="0.2">
      <c r="B108" s="85" t="s">
        <v>56</v>
      </c>
      <c r="C108" s="85"/>
      <c r="D108" s="85"/>
      <c r="E108" s="12">
        <f>SUM(E102:E107)</f>
        <v>1732.3577681923443</v>
      </c>
    </row>
    <row r="109" spans="2:5" ht="15" customHeight="1" x14ac:dyDescent="0.2">
      <c r="B109" s="37"/>
    </row>
    <row r="110" spans="2:5" ht="15" customHeight="1" x14ac:dyDescent="0.2">
      <c r="B110" s="22" t="s">
        <v>86</v>
      </c>
    </row>
    <row r="111" spans="2:5" ht="15" customHeight="1" x14ac:dyDescent="0.2">
      <c r="B111" s="9">
        <v>5</v>
      </c>
      <c r="C111" s="9" t="s">
        <v>87</v>
      </c>
      <c r="D111" s="45" t="s">
        <v>48</v>
      </c>
      <c r="E111" s="10" t="s">
        <v>24</v>
      </c>
    </row>
    <row r="112" spans="2:5" ht="15" customHeight="1" x14ac:dyDescent="0.2">
      <c r="B112" s="28" t="s">
        <v>11</v>
      </c>
      <c r="C112" s="16" t="s">
        <v>88</v>
      </c>
      <c r="D112" s="25">
        <v>0.05</v>
      </c>
      <c r="E112" s="11">
        <f>E129*D112</f>
        <v>239.29526566839823</v>
      </c>
    </row>
    <row r="113" spans="2:8" ht="15" customHeight="1" x14ac:dyDescent="0.2">
      <c r="B113" s="28" t="s">
        <v>12</v>
      </c>
      <c r="C113" s="93" t="s">
        <v>89</v>
      </c>
      <c r="D113" s="93"/>
      <c r="E113" s="93"/>
    </row>
    <row r="114" spans="2:8" ht="15" customHeight="1" x14ac:dyDescent="0.2">
      <c r="B114" s="28" t="s">
        <v>157</v>
      </c>
      <c r="C114" s="93" t="s">
        <v>167</v>
      </c>
      <c r="D114" s="93"/>
      <c r="E114" s="93"/>
    </row>
    <row r="115" spans="2:8" ht="15" customHeight="1" x14ac:dyDescent="0.2">
      <c r="B115" s="28" t="s">
        <v>158</v>
      </c>
      <c r="C115" s="16" t="s">
        <v>166</v>
      </c>
      <c r="D115" s="25">
        <v>6.4999999999999997E-3</v>
      </c>
      <c r="E115" s="11">
        <f>(E129+E112+E120)*D115</f>
        <v>34.219222990580946</v>
      </c>
    </row>
    <row r="116" spans="2:8" ht="15" customHeight="1" x14ac:dyDescent="0.2">
      <c r="B116" s="28" t="s">
        <v>158</v>
      </c>
      <c r="C116" s="16" t="s">
        <v>165</v>
      </c>
      <c r="D116" s="25">
        <v>0.03</v>
      </c>
      <c r="E116" s="11">
        <f>(E129+E112+E120)*D116</f>
        <v>157.93487534114283</v>
      </c>
    </row>
    <row r="117" spans="2:8" ht="15" customHeight="1" x14ac:dyDescent="0.2">
      <c r="B117" s="28" t="s">
        <v>159</v>
      </c>
      <c r="C117" s="16" t="s">
        <v>164</v>
      </c>
      <c r="D117" s="25">
        <v>0.05</v>
      </c>
      <c r="E117" s="11">
        <f>(E129+E112+E120)*D117</f>
        <v>263.22479223523806</v>
      </c>
    </row>
    <row r="118" spans="2:8" ht="15" customHeight="1" x14ac:dyDescent="0.2">
      <c r="B118" s="28" t="s">
        <v>160</v>
      </c>
      <c r="C118" s="16" t="s">
        <v>163</v>
      </c>
      <c r="D118" s="25"/>
      <c r="E118" s="11">
        <v>0</v>
      </c>
    </row>
    <row r="119" spans="2:8" ht="15" customHeight="1" x14ac:dyDescent="0.2">
      <c r="B119" s="28" t="s">
        <v>161</v>
      </c>
      <c r="C119" s="16" t="s">
        <v>162</v>
      </c>
      <c r="D119" s="25"/>
      <c r="E119" s="11">
        <v>0</v>
      </c>
    </row>
    <row r="120" spans="2:8" ht="15" customHeight="1" x14ac:dyDescent="0.2">
      <c r="B120" s="28" t="s">
        <v>13</v>
      </c>
      <c r="C120" s="16" t="s">
        <v>90</v>
      </c>
      <c r="D120" s="25">
        <v>0.05</v>
      </c>
      <c r="E120" s="11">
        <f>(E29+E41+E49+E108)*D120</f>
        <v>239.29526566839823</v>
      </c>
      <c r="H120" s="19"/>
    </row>
    <row r="121" spans="2:8" ht="15" customHeight="1" x14ac:dyDescent="0.2">
      <c r="B121" s="85" t="s">
        <v>56</v>
      </c>
      <c r="C121" s="85"/>
      <c r="D121" s="85"/>
      <c r="E121" s="44">
        <f>SUM(E112:E120)</f>
        <v>933.9694219037583</v>
      </c>
      <c r="H121" s="19"/>
    </row>
    <row r="122" spans="2:8" ht="15" customHeight="1" x14ac:dyDescent="0.2">
      <c r="B122" s="37"/>
    </row>
    <row r="123" spans="2:8" ht="15" customHeight="1" x14ac:dyDescent="0.2">
      <c r="B123" s="22" t="s">
        <v>168</v>
      </c>
    </row>
    <row r="124" spans="2:8" ht="15" customHeight="1" x14ac:dyDescent="0.2">
      <c r="B124" s="88" t="s">
        <v>91</v>
      </c>
      <c r="C124" s="88"/>
      <c r="D124" s="88"/>
      <c r="E124" s="10" t="s">
        <v>24</v>
      </c>
    </row>
    <row r="125" spans="2:8" ht="15" customHeight="1" x14ac:dyDescent="0.2">
      <c r="B125" s="28" t="s">
        <v>11</v>
      </c>
      <c r="C125" s="89" t="s">
        <v>92</v>
      </c>
      <c r="D125" s="90"/>
      <c r="E125" s="46">
        <f>E29</f>
        <v>2309.99788517562</v>
      </c>
    </row>
    <row r="126" spans="2:8" ht="15" customHeight="1" x14ac:dyDescent="0.2">
      <c r="B126" s="28" t="s">
        <v>12</v>
      </c>
      <c r="C126" s="89" t="s">
        <v>93</v>
      </c>
      <c r="D126" s="90"/>
      <c r="E126" s="46">
        <f>E41</f>
        <v>515.04966000000002</v>
      </c>
    </row>
    <row r="127" spans="2:8" ht="15" customHeight="1" x14ac:dyDescent="0.2">
      <c r="B127" s="28" t="s">
        <v>13</v>
      </c>
      <c r="C127" s="89" t="s">
        <v>94</v>
      </c>
      <c r="D127" s="90"/>
      <c r="E127" s="46">
        <f>E49</f>
        <v>228.5</v>
      </c>
      <c r="F127" s="20"/>
    </row>
    <row r="128" spans="2:8" ht="15" customHeight="1" x14ac:dyDescent="0.2">
      <c r="B128" s="28" t="s">
        <v>14</v>
      </c>
      <c r="C128" s="89" t="s">
        <v>95</v>
      </c>
      <c r="D128" s="90"/>
      <c r="E128" s="46">
        <f>E108</f>
        <v>1732.3577681923443</v>
      </c>
      <c r="F128" s="20"/>
    </row>
    <row r="129" spans="2:8" ht="15" customHeight="1" x14ac:dyDescent="0.2">
      <c r="B129" s="85" t="s">
        <v>96</v>
      </c>
      <c r="C129" s="85"/>
      <c r="D129" s="85"/>
      <c r="E129" s="44">
        <f>SUM(E125:E128)</f>
        <v>4785.9053133679645</v>
      </c>
    </row>
    <row r="130" spans="2:8" ht="15" customHeight="1" x14ac:dyDescent="0.2">
      <c r="B130" s="28" t="s">
        <v>9</v>
      </c>
      <c r="C130" s="86" t="s">
        <v>97</v>
      </c>
      <c r="D130" s="86"/>
      <c r="E130" s="46">
        <f>E121</f>
        <v>933.9694219037583</v>
      </c>
    </row>
    <row r="131" spans="2:8" ht="15" customHeight="1" x14ac:dyDescent="0.2">
      <c r="B131" s="85" t="s">
        <v>98</v>
      </c>
      <c r="C131" s="85"/>
      <c r="D131" s="85"/>
      <c r="E131" s="44">
        <f>SUM(E129:E130)</f>
        <v>5719.8747352717228</v>
      </c>
    </row>
    <row r="132" spans="2:8" ht="15" customHeight="1" x14ac:dyDescent="0.2">
      <c r="B132" s="37"/>
    </row>
    <row r="133" spans="2:8" ht="15" customHeight="1" x14ac:dyDescent="0.2">
      <c r="B133" s="22" t="s">
        <v>99</v>
      </c>
    </row>
    <row r="134" spans="2:8" ht="50.25" customHeight="1" x14ac:dyDescent="0.2">
      <c r="B134" s="88" t="s">
        <v>17</v>
      </c>
      <c r="C134" s="88"/>
      <c r="D134" s="45" t="s">
        <v>169</v>
      </c>
      <c r="E134" s="10" t="s">
        <v>100</v>
      </c>
      <c r="F134" s="9" t="s">
        <v>171</v>
      </c>
      <c r="G134" s="9" t="s">
        <v>144</v>
      </c>
      <c r="H134" s="9" t="s">
        <v>101</v>
      </c>
    </row>
    <row r="135" spans="2:8" ht="15" customHeight="1" x14ac:dyDescent="0.2">
      <c r="B135" s="88" t="s">
        <v>102</v>
      </c>
      <c r="C135" s="88"/>
      <c r="D135" s="45" t="s">
        <v>170</v>
      </c>
      <c r="E135" s="10" t="s">
        <v>103</v>
      </c>
      <c r="F135" s="9" t="s">
        <v>104</v>
      </c>
      <c r="G135" s="9" t="s">
        <v>105</v>
      </c>
      <c r="H135" s="9" t="s">
        <v>106</v>
      </c>
    </row>
    <row r="136" spans="2:8" ht="15" customHeight="1" x14ac:dyDescent="0.2">
      <c r="B136" s="28" t="s">
        <v>39</v>
      </c>
      <c r="C136" s="16" t="s">
        <v>107</v>
      </c>
      <c r="D136" s="11">
        <f>E131</f>
        <v>5719.8747352717228</v>
      </c>
      <c r="E136" s="49">
        <v>2</v>
      </c>
      <c r="F136" s="11">
        <f>ROUND(D136*E136,2)</f>
        <v>11439.75</v>
      </c>
      <c r="G136" s="28">
        <v>1</v>
      </c>
      <c r="H136" s="11">
        <f>ROUND(F136*G136,2)</f>
        <v>11439.75</v>
      </c>
    </row>
    <row r="137" spans="2:8" ht="15" customHeight="1" x14ac:dyDescent="0.2">
      <c r="B137" s="28" t="s">
        <v>108</v>
      </c>
      <c r="C137" s="16" t="s">
        <v>109</v>
      </c>
      <c r="D137" s="11">
        <v>0</v>
      </c>
      <c r="E137" s="21"/>
      <c r="F137" s="11">
        <v>0</v>
      </c>
      <c r="G137" s="16"/>
      <c r="H137" s="11">
        <v>0</v>
      </c>
    </row>
    <row r="138" spans="2:8" ht="15" customHeight="1" x14ac:dyDescent="0.2">
      <c r="B138" s="16"/>
      <c r="C138" s="16"/>
      <c r="D138" s="34"/>
      <c r="E138" s="21"/>
      <c r="F138" s="16"/>
      <c r="G138" s="16"/>
      <c r="H138" s="16"/>
    </row>
    <row r="139" spans="2:8" ht="15" customHeight="1" x14ac:dyDescent="0.2">
      <c r="B139" s="85" t="s">
        <v>110</v>
      </c>
      <c r="C139" s="85"/>
      <c r="D139" s="85"/>
      <c r="E139" s="85"/>
      <c r="F139" s="85"/>
      <c r="G139" s="85"/>
      <c r="H139" s="48">
        <f>ROUND(SUM(H136:H138),2)</f>
        <v>11439.75</v>
      </c>
    </row>
    <row r="140" spans="2:8" ht="15" customHeight="1" x14ac:dyDescent="0.2">
      <c r="B140" s="37"/>
    </row>
    <row r="141" spans="2:8" ht="15" customHeight="1" x14ac:dyDescent="0.2">
      <c r="B141" s="22" t="s">
        <v>111</v>
      </c>
    </row>
    <row r="142" spans="2:8" ht="15" customHeight="1" x14ac:dyDescent="0.2">
      <c r="B142" s="88" t="s">
        <v>112</v>
      </c>
      <c r="C142" s="88"/>
      <c r="D142" s="88"/>
      <c r="E142" s="88"/>
      <c r="F142" s="88"/>
    </row>
    <row r="143" spans="2:8" ht="15" customHeight="1" x14ac:dyDescent="0.2">
      <c r="B143" s="24"/>
      <c r="C143" s="85" t="s">
        <v>113</v>
      </c>
      <c r="D143" s="85"/>
      <c r="E143" s="85"/>
      <c r="F143" s="27" t="s">
        <v>24</v>
      </c>
    </row>
    <row r="144" spans="2:8" ht="15" customHeight="1" x14ac:dyDescent="0.2">
      <c r="B144" s="28" t="s">
        <v>11</v>
      </c>
      <c r="C144" s="86" t="s">
        <v>114</v>
      </c>
      <c r="D144" s="86"/>
      <c r="E144" s="86"/>
      <c r="F144" s="11">
        <f>F136</f>
        <v>11439.75</v>
      </c>
    </row>
    <row r="145" spans="2:6" ht="15" customHeight="1" x14ac:dyDescent="0.2">
      <c r="B145" s="28" t="s">
        <v>12</v>
      </c>
      <c r="C145" s="86" t="s">
        <v>115</v>
      </c>
      <c r="D145" s="86"/>
      <c r="E145" s="86"/>
      <c r="F145" s="11">
        <f>H139</f>
        <v>11439.75</v>
      </c>
    </row>
    <row r="146" spans="2:6" ht="15" customHeight="1" x14ac:dyDescent="0.2">
      <c r="B146" s="28" t="s">
        <v>13</v>
      </c>
      <c r="C146" s="86" t="s">
        <v>116</v>
      </c>
      <c r="D146" s="86"/>
      <c r="E146" s="86"/>
      <c r="F146" s="11">
        <f>ROUND(F145*12,2)</f>
        <v>137277</v>
      </c>
    </row>
  </sheetData>
  <mergeCells count="53">
    <mergeCell ref="B1:E3"/>
    <mergeCell ref="A4:E4"/>
    <mergeCell ref="B5:G5"/>
    <mergeCell ref="B6:G6"/>
    <mergeCell ref="F45:H45"/>
    <mergeCell ref="F47:H47"/>
    <mergeCell ref="G7:G8"/>
    <mergeCell ref="B14:D14"/>
    <mergeCell ref="C21:D21"/>
    <mergeCell ref="F22:H22"/>
    <mergeCell ref="B7:B8"/>
    <mergeCell ref="C7:C8"/>
    <mergeCell ref="D7:D8"/>
    <mergeCell ref="E7:E8"/>
    <mergeCell ref="F7:F8"/>
    <mergeCell ref="C73:D73"/>
    <mergeCell ref="B29:D29"/>
    <mergeCell ref="C32:D32"/>
    <mergeCell ref="B41:D41"/>
    <mergeCell ref="C44:D44"/>
    <mergeCell ref="B49:D49"/>
    <mergeCell ref="B62:C62"/>
    <mergeCell ref="C65:D65"/>
    <mergeCell ref="B68:C68"/>
    <mergeCell ref="B70:C70"/>
    <mergeCell ref="B124:D124"/>
    <mergeCell ref="B76:C76"/>
    <mergeCell ref="C79:D79"/>
    <mergeCell ref="B86:C86"/>
    <mergeCell ref="C89:D89"/>
    <mergeCell ref="B96:C96"/>
    <mergeCell ref="B98:C98"/>
    <mergeCell ref="C101:D101"/>
    <mergeCell ref="B108:D108"/>
    <mergeCell ref="C113:E113"/>
    <mergeCell ref="C114:E114"/>
    <mergeCell ref="B121:D121"/>
    <mergeCell ref="C144:E144"/>
    <mergeCell ref="C145:E145"/>
    <mergeCell ref="C146:E146"/>
    <mergeCell ref="B11:G11"/>
    <mergeCell ref="B131:D131"/>
    <mergeCell ref="B134:C134"/>
    <mergeCell ref="B135:C135"/>
    <mergeCell ref="B139:G139"/>
    <mergeCell ref="B142:F142"/>
    <mergeCell ref="C143:E143"/>
    <mergeCell ref="C125:D125"/>
    <mergeCell ref="C126:D126"/>
    <mergeCell ref="C127:D127"/>
    <mergeCell ref="C128:D128"/>
    <mergeCell ref="B129:D129"/>
    <mergeCell ref="C130:D130"/>
  </mergeCells>
  <printOptions horizontalCentered="1"/>
  <pageMargins left="0.39370078740157483" right="0.19685039370078741" top="0.59055118110236227" bottom="0.59055118110236227" header="0.31496062992125984" footer="0.31496062992125984"/>
  <pageSetup paperSize="9" scale="73" fitToHeight="0" orientation="portrait" r:id="rId1"/>
  <rowBreaks count="2" manualBreakCount="2">
    <brk id="49" max="8" man="1"/>
    <brk id="108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B2:W30"/>
  <sheetViews>
    <sheetView zoomScaleNormal="100" zoomScaleSheetLayoutView="100" workbookViewId="0">
      <selection activeCell="B2" sqref="B2:G2"/>
    </sheetView>
  </sheetViews>
  <sheetFormatPr defaultColWidth="9.140625" defaultRowHeight="15" x14ac:dyDescent="0.25"/>
  <cols>
    <col min="1" max="1" width="3.7109375" style="1" customWidth="1"/>
    <col min="2" max="2" width="5.7109375" style="1" customWidth="1"/>
    <col min="3" max="3" width="28.140625" style="1" customWidth="1"/>
    <col min="4" max="4" width="7.7109375" style="1" customWidth="1"/>
    <col min="5" max="5" width="9.28515625" style="1" customWidth="1"/>
    <col min="6" max="7" width="14.7109375" style="1" customWidth="1"/>
    <col min="8" max="8" width="3.7109375" style="1" customWidth="1"/>
    <col min="9" max="9" width="5.7109375" style="1" customWidth="1"/>
    <col min="10" max="10" width="28.140625" style="1" customWidth="1"/>
    <col min="11" max="11" width="7.7109375" style="1" customWidth="1"/>
    <col min="12" max="12" width="9.28515625" style="1" customWidth="1"/>
    <col min="13" max="14" width="14.7109375" style="1" customWidth="1"/>
    <col min="15" max="15" width="3.7109375" style="1" customWidth="1"/>
    <col min="16" max="16" width="5.7109375" style="1" customWidth="1"/>
    <col min="17" max="17" width="28.140625" style="1" customWidth="1"/>
    <col min="18" max="18" width="7.7109375" style="1" customWidth="1"/>
    <col min="19" max="19" width="9.28515625" style="1" customWidth="1"/>
    <col min="20" max="21" width="14.7109375" style="1" customWidth="1"/>
    <col min="22" max="22" width="9.140625" style="1"/>
    <col min="23" max="23" width="22.7109375" style="1" customWidth="1"/>
    <col min="24" max="16384" width="9.140625" style="1"/>
  </cols>
  <sheetData>
    <row r="2" spans="2:23" x14ac:dyDescent="0.25">
      <c r="B2" s="102" t="s">
        <v>178</v>
      </c>
      <c r="C2" s="102"/>
      <c r="D2" s="102"/>
      <c r="E2" s="102"/>
      <c r="F2" s="102"/>
      <c r="G2" s="102"/>
    </row>
    <row r="4" spans="2:23" x14ac:dyDescent="0.25">
      <c r="B4" s="57" t="s">
        <v>2</v>
      </c>
      <c r="C4" s="57" t="s">
        <v>155</v>
      </c>
      <c r="D4" s="57" t="s">
        <v>183</v>
      </c>
      <c r="E4" s="57" t="s">
        <v>123</v>
      </c>
      <c r="F4" s="57" t="s">
        <v>124</v>
      </c>
      <c r="G4" s="57" t="s">
        <v>125</v>
      </c>
    </row>
    <row r="5" spans="2:23" x14ac:dyDescent="0.25">
      <c r="B5" s="55">
        <v>1</v>
      </c>
      <c r="C5" s="58" t="s">
        <v>181</v>
      </c>
      <c r="D5" s="55" t="s">
        <v>184</v>
      </c>
      <c r="E5" s="55">
        <v>4</v>
      </c>
      <c r="F5" s="11">
        <f>AVERAGE(Plan1!F5,Plan1!F31,Plan1!F57)</f>
        <v>43.419999999999995</v>
      </c>
      <c r="G5" s="11">
        <f t="shared" ref="G5:G11" si="0">E5*F5</f>
        <v>173.67999999999998</v>
      </c>
    </row>
    <row r="6" spans="2:23" x14ac:dyDescent="0.25">
      <c r="B6" s="55">
        <v>2</v>
      </c>
      <c r="C6" s="58" t="s">
        <v>180</v>
      </c>
      <c r="D6" s="55" t="s">
        <v>184</v>
      </c>
      <c r="E6" s="55">
        <v>4</v>
      </c>
      <c r="F6" s="11">
        <f>AVERAGE(Plan1!F6,Plan1!F32,Plan1!F58)</f>
        <v>35.016666666666666</v>
      </c>
      <c r="G6" s="11">
        <f t="shared" si="0"/>
        <v>140.06666666666666</v>
      </c>
    </row>
    <row r="7" spans="2:23" x14ac:dyDescent="0.25">
      <c r="B7" s="55">
        <v>3</v>
      </c>
      <c r="C7" s="58" t="s">
        <v>147</v>
      </c>
      <c r="D7" s="55" t="s">
        <v>184</v>
      </c>
      <c r="E7" s="55">
        <v>2</v>
      </c>
      <c r="F7" s="11">
        <f>AVERAGE(Plan1!F7,Plan1!F33,Plan1!F59)</f>
        <v>10.003333333333332</v>
      </c>
      <c r="G7" s="11">
        <f t="shared" si="0"/>
        <v>20.006666666666664</v>
      </c>
    </row>
    <row r="8" spans="2:23" x14ac:dyDescent="0.25">
      <c r="B8" s="55">
        <v>4</v>
      </c>
      <c r="C8" s="58" t="s">
        <v>187</v>
      </c>
      <c r="D8" s="55" t="s">
        <v>185</v>
      </c>
      <c r="E8" s="55">
        <v>4</v>
      </c>
      <c r="F8" s="11">
        <f>AVERAGE(Plan1!F8,Plan1!F34,Plan1!F60)</f>
        <v>4.1233333333333331</v>
      </c>
      <c r="G8" s="11">
        <f t="shared" si="0"/>
        <v>16.493333333333332</v>
      </c>
      <c r="W8" s="2"/>
    </row>
    <row r="9" spans="2:23" x14ac:dyDescent="0.25">
      <c r="B9" s="55">
        <v>5</v>
      </c>
      <c r="C9" s="58" t="s">
        <v>182</v>
      </c>
      <c r="D9" s="55" t="s">
        <v>185</v>
      </c>
      <c r="E9" s="55">
        <v>2</v>
      </c>
      <c r="F9" s="11">
        <f>AVERAGE(Plan1!F9,Plan1!F35,Plan1!F61)</f>
        <v>62.57</v>
      </c>
      <c r="G9" s="11">
        <f t="shared" si="0"/>
        <v>125.14</v>
      </c>
      <c r="W9" s="2"/>
    </row>
    <row r="10" spans="2:23" x14ac:dyDescent="0.25">
      <c r="B10" s="55">
        <v>6</v>
      </c>
      <c r="C10" s="58" t="s">
        <v>186</v>
      </c>
      <c r="D10" s="55" t="s">
        <v>184</v>
      </c>
      <c r="E10" s="55">
        <v>1</v>
      </c>
      <c r="F10" s="11">
        <f>AVERAGE(Plan1!F10,Plan1!F36,Plan1!F62)</f>
        <v>11.67</v>
      </c>
      <c r="G10" s="11">
        <f t="shared" si="0"/>
        <v>11.67</v>
      </c>
      <c r="W10" s="2"/>
    </row>
    <row r="11" spans="2:23" x14ac:dyDescent="0.25">
      <c r="B11" s="55">
        <v>7</v>
      </c>
      <c r="C11" s="58" t="s">
        <v>179</v>
      </c>
      <c r="D11" s="55" t="s">
        <v>184</v>
      </c>
      <c r="E11" s="55">
        <v>1</v>
      </c>
      <c r="F11" s="11">
        <f>AVERAGE(Plan1!F11,Plan1!F37,Plan1!F63)</f>
        <v>5.8566666666666665</v>
      </c>
      <c r="G11" s="11">
        <f t="shared" si="0"/>
        <v>5.8566666666666665</v>
      </c>
      <c r="W11" s="2"/>
    </row>
    <row r="12" spans="2:23" x14ac:dyDescent="0.25">
      <c r="B12" s="103" t="s">
        <v>126</v>
      </c>
      <c r="C12" s="103"/>
      <c r="D12" s="103"/>
      <c r="E12" s="103"/>
      <c r="F12" s="103"/>
      <c r="G12" s="11">
        <f>SUM(G5:G11)</f>
        <v>492.91333333333336</v>
      </c>
    </row>
    <row r="13" spans="2:23" x14ac:dyDescent="0.25">
      <c r="B13" s="104" t="s">
        <v>197</v>
      </c>
      <c r="C13" s="104"/>
      <c r="D13" s="104"/>
      <c r="E13" s="104"/>
      <c r="F13" s="104"/>
      <c r="G13" s="61">
        <f>ROUND(G12/12,2)</f>
        <v>41.08</v>
      </c>
      <c r="W13" s="56"/>
    </row>
    <row r="15" spans="2:23" x14ac:dyDescent="0.25">
      <c r="B15" s="57" t="s">
        <v>2</v>
      </c>
      <c r="C15" s="57" t="s">
        <v>172</v>
      </c>
      <c r="D15" s="57" t="s">
        <v>183</v>
      </c>
      <c r="E15" s="57" t="s">
        <v>123</v>
      </c>
      <c r="F15" s="57" t="s">
        <v>124</v>
      </c>
      <c r="G15" s="57" t="s">
        <v>125</v>
      </c>
    </row>
    <row r="16" spans="2:23" x14ac:dyDescent="0.25">
      <c r="B16" s="55">
        <v>1</v>
      </c>
      <c r="C16" s="58" t="s">
        <v>188</v>
      </c>
      <c r="D16" s="55" t="s">
        <v>184</v>
      </c>
      <c r="E16" s="55">
        <v>1</v>
      </c>
      <c r="F16" s="72">
        <f>AVERAGE(Plan1!F15,Plan1!F41,Plan1!F67)</f>
        <v>12.753333333333332</v>
      </c>
      <c r="G16" s="11">
        <f>E16*F16</f>
        <v>12.753333333333332</v>
      </c>
    </row>
    <row r="17" spans="2:23" x14ac:dyDescent="0.25">
      <c r="B17" s="55">
        <v>2</v>
      </c>
      <c r="C17" s="58" t="s">
        <v>192</v>
      </c>
      <c r="D17" s="55" t="s">
        <v>184</v>
      </c>
      <c r="E17" s="55">
        <v>1</v>
      </c>
      <c r="F17" s="72">
        <f>AVERAGE(Plan1!F16,Plan1!F42,Plan1!F68)</f>
        <v>385.99</v>
      </c>
      <c r="G17" s="11">
        <f>E17*F17</f>
        <v>385.99</v>
      </c>
    </row>
    <row r="18" spans="2:23" x14ac:dyDescent="0.25">
      <c r="B18" s="55">
        <v>3</v>
      </c>
      <c r="C18" s="58" t="s">
        <v>191</v>
      </c>
      <c r="D18" s="55" t="s">
        <v>184</v>
      </c>
      <c r="E18" s="55">
        <v>1</v>
      </c>
      <c r="F18" s="72">
        <f>AVERAGE(Plan1!F17,Plan1!F43,Plan1!F69)</f>
        <v>51.716666666666669</v>
      </c>
      <c r="G18" s="11">
        <f>E18*F18</f>
        <v>51.716666666666669</v>
      </c>
    </row>
    <row r="19" spans="2:23" x14ac:dyDescent="0.25">
      <c r="B19" s="103" t="s">
        <v>126</v>
      </c>
      <c r="C19" s="103"/>
      <c r="D19" s="103"/>
      <c r="E19" s="103"/>
      <c r="F19" s="103"/>
      <c r="G19" s="11">
        <f>SUM(G16:G18)</f>
        <v>450.46000000000004</v>
      </c>
    </row>
    <row r="20" spans="2:23" x14ac:dyDescent="0.25">
      <c r="B20" s="104" t="s">
        <v>197</v>
      </c>
      <c r="C20" s="104"/>
      <c r="D20" s="104"/>
      <c r="E20" s="104"/>
      <c r="F20" s="104"/>
      <c r="G20" s="61">
        <f>ROUND(G19/12,2)</f>
        <v>37.54</v>
      </c>
      <c r="W20" s="56"/>
    </row>
    <row r="22" spans="2:23" x14ac:dyDescent="0.25">
      <c r="B22" s="57" t="s">
        <v>2</v>
      </c>
      <c r="C22" s="57" t="s">
        <v>175</v>
      </c>
      <c r="D22" s="57" t="s">
        <v>183</v>
      </c>
      <c r="E22" s="57" t="s">
        <v>123</v>
      </c>
      <c r="F22" s="57" t="s">
        <v>124</v>
      </c>
      <c r="G22" s="57" t="s">
        <v>125</v>
      </c>
    </row>
    <row r="23" spans="2:23" x14ac:dyDescent="0.25">
      <c r="B23" s="55">
        <v>1</v>
      </c>
      <c r="C23" s="58" t="s">
        <v>189</v>
      </c>
      <c r="D23" s="55" t="s">
        <v>184</v>
      </c>
      <c r="E23" s="55">
        <v>1</v>
      </c>
      <c r="F23" s="11">
        <f>AVERAGE(Plan1!F21,Plan1!F47)</f>
        <v>1700</v>
      </c>
      <c r="G23" s="11">
        <f>E23*F23</f>
        <v>1700</v>
      </c>
    </row>
    <row r="24" spans="2:23" x14ac:dyDescent="0.25">
      <c r="B24" s="55">
        <v>2</v>
      </c>
      <c r="C24" s="58" t="s">
        <v>127</v>
      </c>
      <c r="D24" s="55" t="s">
        <v>190</v>
      </c>
      <c r="E24" s="55">
        <v>1</v>
      </c>
      <c r="F24" s="11">
        <f>AVERAGE(Plan1!F22,Plan1!F48)</f>
        <v>16.100000000000001</v>
      </c>
      <c r="G24" s="11">
        <f>E24*F24</f>
        <v>16.100000000000001</v>
      </c>
      <c r="W24" s="2"/>
    </row>
    <row r="25" spans="2:23" x14ac:dyDescent="0.25">
      <c r="B25" s="55">
        <v>3</v>
      </c>
      <c r="C25" s="58" t="s">
        <v>174</v>
      </c>
      <c r="D25" s="55" t="s">
        <v>184</v>
      </c>
      <c r="E25" s="55">
        <v>1</v>
      </c>
      <c r="F25" s="11">
        <f>AVERAGE(Plan1!F23,Plan1!F49)</f>
        <v>32.93</v>
      </c>
      <c r="G25" s="11">
        <f>E25*F25</f>
        <v>32.93</v>
      </c>
      <c r="W25" s="2"/>
    </row>
    <row r="26" spans="2:23" x14ac:dyDescent="0.25">
      <c r="B26" s="55">
        <v>4</v>
      </c>
      <c r="C26" s="58" t="s">
        <v>173</v>
      </c>
      <c r="D26" s="55" t="s">
        <v>184</v>
      </c>
      <c r="E26" s="55">
        <v>1</v>
      </c>
      <c r="F26" s="11">
        <f>AVERAGE(Plan1!F24,Plan1!F50)</f>
        <v>49.5</v>
      </c>
      <c r="G26" s="11">
        <f>E26*F26</f>
        <v>49.5</v>
      </c>
      <c r="W26" s="2"/>
    </row>
    <row r="27" spans="2:23" x14ac:dyDescent="0.25">
      <c r="B27" s="103" t="s">
        <v>126</v>
      </c>
      <c r="C27" s="103"/>
      <c r="D27" s="103"/>
      <c r="E27" s="103"/>
      <c r="F27" s="103"/>
      <c r="G27" s="11">
        <f>SUM(G23:G26)</f>
        <v>1798.53</v>
      </c>
    </row>
    <row r="28" spans="2:23" x14ac:dyDescent="0.25">
      <c r="B28" s="104" t="s">
        <v>197</v>
      </c>
      <c r="C28" s="104"/>
      <c r="D28" s="104"/>
      <c r="E28" s="104"/>
      <c r="F28" s="104"/>
      <c r="G28" s="61">
        <f>ROUND(G27/12,2)</f>
        <v>149.88</v>
      </c>
      <c r="W28" s="56"/>
    </row>
    <row r="29" spans="2:23" x14ac:dyDescent="0.25">
      <c r="C29" s="54"/>
      <c r="D29" s="54"/>
      <c r="E29" s="54"/>
      <c r="F29" s="54"/>
      <c r="G29" s="54"/>
      <c r="J29" s="54"/>
      <c r="K29" s="54"/>
      <c r="L29" s="54"/>
      <c r="M29" s="54"/>
      <c r="N29" s="54"/>
      <c r="Q29" s="54"/>
      <c r="R29" s="54"/>
      <c r="S29" s="54"/>
      <c r="T29" s="54"/>
      <c r="U29" s="54"/>
    </row>
    <row r="30" spans="2:23" x14ac:dyDescent="0.25">
      <c r="C30" s="54"/>
      <c r="D30" s="54"/>
      <c r="E30" s="54"/>
      <c r="F30" s="54"/>
      <c r="G30" s="54"/>
      <c r="J30" s="54"/>
      <c r="K30" s="54"/>
      <c r="L30" s="54"/>
      <c r="M30" s="54"/>
      <c r="N30" s="54"/>
      <c r="Q30" s="54"/>
      <c r="R30" s="54"/>
      <c r="S30" s="54"/>
      <c r="T30" s="54"/>
      <c r="U30" s="54"/>
    </row>
  </sheetData>
  <mergeCells count="7">
    <mergeCell ref="B27:F27"/>
    <mergeCell ref="B28:F28"/>
    <mergeCell ref="B2:G2"/>
    <mergeCell ref="B12:F12"/>
    <mergeCell ref="B13:F13"/>
    <mergeCell ref="B19:F19"/>
    <mergeCell ref="B20:F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78"/>
  <sheetViews>
    <sheetView workbookViewId="0">
      <selection activeCell="H13" sqref="H13"/>
    </sheetView>
  </sheetViews>
  <sheetFormatPr defaultRowHeight="15" x14ac:dyDescent="0.25"/>
  <cols>
    <col min="6" max="7" width="11.42578125" bestFit="1" customWidth="1"/>
  </cols>
  <sheetData>
    <row r="1" spans="2:23" ht="15.75" thickBot="1" x14ac:dyDescent="0.3"/>
    <row r="2" spans="2:23" s="1" customFormat="1" x14ac:dyDescent="0.25">
      <c r="B2" s="105" t="s">
        <v>200</v>
      </c>
      <c r="C2" s="106"/>
      <c r="D2" s="106"/>
      <c r="E2" s="106"/>
      <c r="F2" s="106"/>
      <c r="G2" s="107"/>
    </row>
    <row r="3" spans="2:23" s="1" customFormat="1" ht="15.75" thickBot="1" x14ac:dyDescent="0.3">
      <c r="B3" s="108"/>
      <c r="C3" s="109"/>
      <c r="D3" s="109"/>
      <c r="E3" s="109"/>
      <c r="F3" s="109"/>
      <c r="G3" s="110"/>
    </row>
    <row r="4" spans="2:23" s="1" customFormat="1" x14ac:dyDescent="0.25">
      <c r="B4" s="68" t="s">
        <v>2</v>
      </c>
      <c r="C4" s="69" t="s">
        <v>155</v>
      </c>
      <c r="D4" s="69" t="s">
        <v>183</v>
      </c>
      <c r="E4" s="69" t="s">
        <v>123</v>
      </c>
      <c r="F4" s="69" t="s">
        <v>124</v>
      </c>
      <c r="G4" s="70" t="s">
        <v>125</v>
      </c>
    </row>
    <row r="5" spans="2:23" s="1" customFormat="1" x14ac:dyDescent="0.25">
      <c r="B5" s="62">
        <v>1</v>
      </c>
      <c r="C5" s="58" t="s">
        <v>181</v>
      </c>
      <c r="D5" s="55" t="s">
        <v>184</v>
      </c>
      <c r="E5" s="55">
        <v>2</v>
      </c>
      <c r="F5" s="11">
        <v>64</v>
      </c>
      <c r="G5" s="63">
        <f t="shared" ref="G5:G11" si="0">E5*F5</f>
        <v>128</v>
      </c>
    </row>
    <row r="6" spans="2:23" s="1" customFormat="1" x14ac:dyDescent="0.25">
      <c r="B6" s="62">
        <v>2</v>
      </c>
      <c r="C6" s="58" t="s">
        <v>180</v>
      </c>
      <c r="D6" s="55" t="s">
        <v>184</v>
      </c>
      <c r="E6" s="55">
        <v>2</v>
      </c>
      <c r="F6" s="11">
        <v>50</v>
      </c>
      <c r="G6" s="63">
        <f t="shared" si="0"/>
        <v>100</v>
      </c>
    </row>
    <row r="7" spans="2:23" s="1" customFormat="1" x14ac:dyDescent="0.25">
      <c r="B7" s="62">
        <v>3</v>
      </c>
      <c r="C7" s="58" t="s">
        <v>147</v>
      </c>
      <c r="D7" s="55" t="s">
        <v>184</v>
      </c>
      <c r="E7" s="55">
        <v>1</v>
      </c>
      <c r="F7" s="11">
        <v>12</v>
      </c>
      <c r="G7" s="63">
        <f t="shared" si="0"/>
        <v>12</v>
      </c>
    </row>
    <row r="8" spans="2:23" s="1" customFormat="1" x14ac:dyDescent="0.25">
      <c r="B8" s="62">
        <v>4</v>
      </c>
      <c r="C8" s="58" t="s">
        <v>187</v>
      </c>
      <c r="D8" s="55" t="s">
        <v>185</v>
      </c>
      <c r="E8" s="55">
        <v>1</v>
      </c>
      <c r="F8" s="11">
        <v>3</v>
      </c>
      <c r="G8" s="63">
        <f t="shared" si="0"/>
        <v>3</v>
      </c>
      <c r="W8" s="2"/>
    </row>
    <row r="9" spans="2:23" s="1" customFormat="1" x14ac:dyDescent="0.25">
      <c r="B9" s="62">
        <v>5</v>
      </c>
      <c r="C9" s="58" t="s">
        <v>182</v>
      </c>
      <c r="D9" s="55" t="s">
        <v>185</v>
      </c>
      <c r="E9" s="55">
        <v>1</v>
      </c>
      <c r="F9" s="11">
        <v>75</v>
      </c>
      <c r="G9" s="63">
        <f t="shared" si="0"/>
        <v>75</v>
      </c>
      <c r="W9" s="2"/>
    </row>
    <row r="10" spans="2:23" s="1" customFormat="1" x14ac:dyDescent="0.25">
      <c r="B10" s="62">
        <v>6</v>
      </c>
      <c r="C10" s="58" t="s">
        <v>186</v>
      </c>
      <c r="D10" s="55" t="s">
        <v>184</v>
      </c>
      <c r="E10" s="55">
        <v>1</v>
      </c>
      <c r="F10" s="11">
        <v>12</v>
      </c>
      <c r="G10" s="63">
        <f t="shared" si="0"/>
        <v>12</v>
      </c>
      <c r="W10" s="2"/>
    </row>
    <row r="11" spans="2:23" s="1" customFormat="1" x14ac:dyDescent="0.25">
      <c r="B11" s="62">
        <v>7</v>
      </c>
      <c r="C11" s="58" t="s">
        <v>179</v>
      </c>
      <c r="D11" s="55" t="s">
        <v>184</v>
      </c>
      <c r="E11" s="55">
        <v>1</v>
      </c>
      <c r="F11" s="11">
        <v>6.5</v>
      </c>
      <c r="G11" s="63">
        <f t="shared" si="0"/>
        <v>6.5</v>
      </c>
      <c r="W11" s="2"/>
    </row>
    <row r="12" spans="2:23" s="1" customFormat="1" x14ac:dyDescent="0.25">
      <c r="B12" s="113" t="s">
        <v>126</v>
      </c>
      <c r="C12" s="103"/>
      <c r="D12" s="103"/>
      <c r="E12" s="103"/>
      <c r="F12" s="103"/>
      <c r="G12" s="63">
        <f>SUM(G5:G11)</f>
        <v>336.5</v>
      </c>
    </row>
    <row r="13" spans="2:23" s="1" customFormat="1" ht="15.75" thickBot="1" x14ac:dyDescent="0.3">
      <c r="B13" s="111" t="s">
        <v>197</v>
      </c>
      <c r="C13" s="112"/>
      <c r="D13" s="112"/>
      <c r="E13" s="112"/>
      <c r="F13" s="112"/>
      <c r="G13" s="64">
        <f>ROUND(G12/12,2)</f>
        <v>28.04</v>
      </c>
      <c r="W13" s="56"/>
    </row>
    <row r="14" spans="2:23" s="1" customFormat="1" x14ac:dyDescent="0.25">
      <c r="B14" s="68" t="s">
        <v>2</v>
      </c>
      <c r="C14" s="69" t="s">
        <v>172</v>
      </c>
      <c r="D14" s="69" t="s">
        <v>183</v>
      </c>
      <c r="E14" s="69" t="s">
        <v>123</v>
      </c>
      <c r="F14" s="69" t="s">
        <v>124</v>
      </c>
      <c r="G14" s="70" t="s">
        <v>125</v>
      </c>
    </row>
    <row r="15" spans="2:23" s="1" customFormat="1" x14ac:dyDescent="0.25">
      <c r="B15" s="62">
        <v>1</v>
      </c>
      <c r="C15" s="58" t="s">
        <v>188</v>
      </c>
      <c r="D15" s="55" t="s">
        <v>184</v>
      </c>
      <c r="E15" s="55">
        <v>1</v>
      </c>
      <c r="F15" s="11">
        <v>11.25</v>
      </c>
      <c r="G15" s="63">
        <f>E15*F15</f>
        <v>11.25</v>
      </c>
    </row>
    <row r="16" spans="2:23" s="1" customFormat="1" x14ac:dyDescent="0.25">
      <c r="B16" s="62">
        <v>2</v>
      </c>
      <c r="C16" s="58" t="s">
        <v>192</v>
      </c>
      <c r="D16" s="55" t="s">
        <v>184</v>
      </c>
      <c r="E16" s="55">
        <v>1</v>
      </c>
      <c r="F16" s="11">
        <v>450</v>
      </c>
      <c r="G16" s="63">
        <f>E16*F16</f>
        <v>450</v>
      </c>
    </row>
    <row r="17" spans="2:23" s="1" customFormat="1" x14ac:dyDescent="0.25">
      <c r="B17" s="62">
        <v>3</v>
      </c>
      <c r="C17" s="58" t="s">
        <v>191</v>
      </c>
      <c r="D17" s="55" t="s">
        <v>184</v>
      </c>
      <c r="E17" s="55">
        <v>1</v>
      </c>
      <c r="F17" s="11">
        <v>28</v>
      </c>
      <c r="G17" s="63">
        <f>E17*F17</f>
        <v>28</v>
      </c>
    </row>
    <row r="18" spans="2:23" s="1" customFormat="1" x14ac:dyDescent="0.25">
      <c r="B18" s="113" t="s">
        <v>126</v>
      </c>
      <c r="C18" s="103"/>
      <c r="D18" s="103"/>
      <c r="E18" s="103"/>
      <c r="F18" s="103"/>
      <c r="G18" s="63">
        <f>SUM(G15:G17)</f>
        <v>489.25</v>
      </c>
    </row>
    <row r="19" spans="2:23" s="1" customFormat="1" ht="15.75" thickBot="1" x14ac:dyDescent="0.3">
      <c r="B19" s="111" t="s">
        <v>197</v>
      </c>
      <c r="C19" s="112"/>
      <c r="D19" s="112"/>
      <c r="E19" s="112"/>
      <c r="F19" s="112"/>
      <c r="G19" s="64">
        <f>ROUND(G18/12,2)</f>
        <v>40.770000000000003</v>
      </c>
      <c r="W19" s="56"/>
    </row>
    <row r="20" spans="2:23" s="1" customFormat="1" x14ac:dyDescent="0.25">
      <c r="B20" s="65" t="s">
        <v>2</v>
      </c>
      <c r="C20" s="66" t="s">
        <v>175</v>
      </c>
      <c r="D20" s="66" t="s">
        <v>183</v>
      </c>
      <c r="E20" s="66" t="s">
        <v>123</v>
      </c>
      <c r="F20" s="66" t="s">
        <v>124</v>
      </c>
      <c r="G20" s="67" t="s">
        <v>125</v>
      </c>
    </row>
    <row r="21" spans="2:23" s="1" customFormat="1" x14ac:dyDescent="0.25">
      <c r="B21" s="62">
        <v>1</v>
      </c>
      <c r="C21" s="58" t="s">
        <v>189</v>
      </c>
      <c r="D21" s="55" t="s">
        <v>184</v>
      </c>
      <c r="E21" s="55">
        <v>1</v>
      </c>
      <c r="F21" s="11">
        <v>1150</v>
      </c>
      <c r="G21" s="63">
        <f>E21*F21</f>
        <v>1150</v>
      </c>
    </row>
    <row r="22" spans="2:23" s="1" customFormat="1" x14ac:dyDescent="0.25">
      <c r="B22" s="62">
        <v>2</v>
      </c>
      <c r="C22" s="58" t="s">
        <v>127</v>
      </c>
      <c r="D22" s="55" t="s">
        <v>190</v>
      </c>
      <c r="E22" s="55">
        <v>1</v>
      </c>
      <c r="F22" s="11">
        <v>25</v>
      </c>
      <c r="G22" s="63">
        <f>E22*F22</f>
        <v>25</v>
      </c>
      <c r="W22" s="2"/>
    </row>
    <row r="23" spans="2:23" s="1" customFormat="1" x14ac:dyDescent="0.25">
      <c r="B23" s="62">
        <v>3</v>
      </c>
      <c r="C23" s="58" t="s">
        <v>174</v>
      </c>
      <c r="D23" s="55" t="s">
        <v>184</v>
      </c>
      <c r="E23" s="55">
        <v>1</v>
      </c>
      <c r="F23" s="11">
        <v>25</v>
      </c>
      <c r="G23" s="63">
        <f>E23*F23</f>
        <v>25</v>
      </c>
      <c r="W23" s="2"/>
    </row>
    <row r="24" spans="2:23" s="1" customFormat="1" x14ac:dyDescent="0.25">
      <c r="B24" s="62">
        <v>4</v>
      </c>
      <c r="C24" s="58" t="s">
        <v>173</v>
      </c>
      <c r="D24" s="55" t="s">
        <v>184</v>
      </c>
      <c r="E24" s="55">
        <v>1</v>
      </c>
      <c r="F24" s="11">
        <v>99</v>
      </c>
      <c r="G24" s="63">
        <f>E24*F24</f>
        <v>99</v>
      </c>
      <c r="W24" s="2"/>
    </row>
    <row r="25" spans="2:23" s="1" customFormat="1" x14ac:dyDescent="0.25">
      <c r="B25" s="113" t="s">
        <v>126</v>
      </c>
      <c r="C25" s="103"/>
      <c r="D25" s="103"/>
      <c r="E25" s="103"/>
      <c r="F25" s="103"/>
      <c r="G25" s="63">
        <f>SUM(G21:G24)</f>
        <v>1299</v>
      </c>
    </row>
    <row r="26" spans="2:23" s="1" customFormat="1" ht="15.75" thickBot="1" x14ac:dyDescent="0.3">
      <c r="B26" s="111" t="s">
        <v>197</v>
      </c>
      <c r="C26" s="112"/>
      <c r="D26" s="112"/>
      <c r="E26" s="112"/>
      <c r="F26" s="112"/>
      <c r="G26" s="64">
        <f>ROUND(G25/12,2)</f>
        <v>108.25</v>
      </c>
      <c r="W26" s="56"/>
    </row>
    <row r="27" spans="2:23" s="1" customFormat="1" ht="15.75" thickBot="1" x14ac:dyDescent="0.3">
      <c r="C27" s="54"/>
      <c r="D27" s="54"/>
      <c r="E27" s="54"/>
      <c r="F27" s="54"/>
      <c r="G27" s="54"/>
      <c r="J27" s="54"/>
      <c r="K27" s="54"/>
      <c r="L27" s="54"/>
      <c r="M27" s="54"/>
      <c r="N27" s="54"/>
      <c r="Q27" s="54"/>
      <c r="R27" s="54"/>
      <c r="S27" s="54"/>
      <c r="T27" s="54"/>
      <c r="U27" s="54"/>
    </row>
    <row r="28" spans="2:23" s="1" customFormat="1" x14ac:dyDescent="0.25">
      <c r="B28" s="105" t="s">
        <v>199</v>
      </c>
      <c r="C28" s="106"/>
      <c r="D28" s="106"/>
      <c r="E28" s="106"/>
      <c r="F28" s="106"/>
      <c r="G28" s="107"/>
      <c r="J28" s="54"/>
      <c r="K28" s="54"/>
      <c r="L28" s="54"/>
      <c r="M28" s="54"/>
      <c r="N28" s="54"/>
      <c r="Q28" s="54"/>
      <c r="R28" s="54"/>
      <c r="S28" s="54"/>
      <c r="T28" s="54"/>
      <c r="U28" s="54"/>
    </row>
    <row r="29" spans="2:23" s="1" customFormat="1" ht="15.75" thickBot="1" x14ac:dyDescent="0.3">
      <c r="B29" s="108"/>
      <c r="C29" s="109"/>
      <c r="D29" s="109"/>
      <c r="E29" s="109"/>
      <c r="F29" s="109"/>
      <c r="G29" s="110"/>
      <c r="J29" s="3"/>
      <c r="K29" s="3"/>
      <c r="L29" s="3"/>
      <c r="M29" s="3"/>
      <c r="N29" s="3"/>
      <c r="Q29" s="3"/>
      <c r="R29" s="3"/>
      <c r="S29" s="3"/>
      <c r="T29" s="3"/>
      <c r="U29" s="3"/>
    </row>
    <row r="30" spans="2:23" s="1" customFormat="1" x14ac:dyDescent="0.25">
      <c r="B30" s="68" t="s">
        <v>2</v>
      </c>
      <c r="C30" s="69" t="s">
        <v>155</v>
      </c>
      <c r="D30" s="69" t="s">
        <v>183</v>
      </c>
      <c r="E30" s="69" t="s">
        <v>123</v>
      </c>
      <c r="F30" s="69" t="s">
        <v>124</v>
      </c>
      <c r="G30" s="70" t="s">
        <v>125</v>
      </c>
    </row>
    <row r="31" spans="2:23" s="1" customFormat="1" x14ac:dyDescent="0.25">
      <c r="B31" s="62">
        <v>1</v>
      </c>
      <c r="C31" s="58" t="s">
        <v>181</v>
      </c>
      <c r="D31" s="55" t="s">
        <v>184</v>
      </c>
      <c r="E31" s="55">
        <v>2</v>
      </c>
      <c r="F31" s="11">
        <v>21.26</v>
      </c>
      <c r="G31" s="63">
        <f t="shared" ref="G31:G37" si="1">E31*F31</f>
        <v>42.52</v>
      </c>
    </row>
    <row r="32" spans="2:23" s="1" customFormat="1" x14ac:dyDescent="0.25">
      <c r="B32" s="62">
        <v>2</v>
      </c>
      <c r="C32" s="58" t="s">
        <v>180</v>
      </c>
      <c r="D32" s="55" t="s">
        <v>184</v>
      </c>
      <c r="E32" s="55">
        <v>2</v>
      </c>
      <c r="F32" s="11">
        <v>20.05</v>
      </c>
      <c r="G32" s="63">
        <f t="shared" si="1"/>
        <v>40.1</v>
      </c>
    </row>
    <row r="33" spans="2:7" s="1" customFormat="1" x14ac:dyDescent="0.25">
      <c r="B33" s="62">
        <v>3</v>
      </c>
      <c r="C33" s="58" t="s">
        <v>147</v>
      </c>
      <c r="D33" s="55" t="s">
        <v>184</v>
      </c>
      <c r="E33" s="55">
        <v>1</v>
      </c>
      <c r="F33" s="11">
        <v>9.11</v>
      </c>
      <c r="G33" s="63">
        <f t="shared" si="1"/>
        <v>9.11</v>
      </c>
    </row>
    <row r="34" spans="2:7" s="1" customFormat="1" x14ac:dyDescent="0.25">
      <c r="B34" s="62">
        <v>4</v>
      </c>
      <c r="C34" s="58" t="s">
        <v>187</v>
      </c>
      <c r="D34" s="55" t="s">
        <v>185</v>
      </c>
      <c r="E34" s="55">
        <v>1</v>
      </c>
      <c r="F34" s="11">
        <v>6.38</v>
      </c>
      <c r="G34" s="63">
        <f t="shared" si="1"/>
        <v>6.38</v>
      </c>
    </row>
    <row r="35" spans="2:7" s="1" customFormat="1" x14ac:dyDescent="0.25">
      <c r="B35" s="62">
        <v>5</v>
      </c>
      <c r="C35" s="58" t="s">
        <v>182</v>
      </c>
      <c r="D35" s="55" t="s">
        <v>185</v>
      </c>
      <c r="E35" s="55">
        <v>1</v>
      </c>
      <c r="F35" s="11">
        <v>57.71</v>
      </c>
      <c r="G35" s="63">
        <f t="shared" si="1"/>
        <v>57.71</v>
      </c>
    </row>
    <row r="36" spans="2:7" s="1" customFormat="1" x14ac:dyDescent="0.25">
      <c r="B36" s="62">
        <v>6</v>
      </c>
      <c r="C36" s="58" t="s">
        <v>186</v>
      </c>
      <c r="D36" s="55" t="s">
        <v>184</v>
      </c>
      <c r="E36" s="55">
        <v>1</v>
      </c>
      <c r="F36" s="11">
        <v>9.11</v>
      </c>
      <c r="G36" s="63">
        <f t="shared" si="1"/>
        <v>9.11</v>
      </c>
    </row>
    <row r="37" spans="2:7" s="1" customFormat="1" x14ac:dyDescent="0.25">
      <c r="B37" s="62">
        <v>7</v>
      </c>
      <c r="C37" s="58" t="s">
        <v>179</v>
      </c>
      <c r="D37" s="55" t="s">
        <v>184</v>
      </c>
      <c r="E37" s="55">
        <v>1</v>
      </c>
      <c r="F37" s="11">
        <v>2.25</v>
      </c>
      <c r="G37" s="63">
        <f t="shared" si="1"/>
        <v>2.25</v>
      </c>
    </row>
    <row r="38" spans="2:7" s="1" customFormat="1" x14ac:dyDescent="0.25">
      <c r="B38" s="113" t="s">
        <v>126</v>
      </c>
      <c r="C38" s="103"/>
      <c r="D38" s="103"/>
      <c r="E38" s="103"/>
      <c r="F38" s="103"/>
      <c r="G38" s="63">
        <f>SUM(G31:G37)</f>
        <v>167.18</v>
      </c>
    </row>
    <row r="39" spans="2:7" s="1" customFormat="1" ht="15.75" thickBot="1" x14ac:dyDescent="0.3">
      <c r="B39" s="111" t="s">
        <v>197</v>
      </c>
      <c r="C39" s="112"/>
      <c r="D39" s="112"/>
      <c r="E39" s="112"/>
      <c r="F39" s="112"/>
      <c r="G39" s="64">
        <f>ROUND(G38/12,2)</f>
        <v>13.93</v>
      </c>
    </row>
    <row r="40" spans="2:7" s="1" customFormat="1" x14ac:dyDescent="0.25">
      <c r="B40" s="65" t="s">
        <v>2</v>
      </c>
      <c r="C40" s="66" t="s">
        <v>172</v>
      </c>
      <c r="D40" s="66" t="s">
        <v>183</v>
      </c>
      <c r="E40" s="66" t="s">
        <v>123</v>
      </c>
      <c r="F40" s="66" t="s">
        <v>124</v>
      </c>
      <c r="G40" s="67" t="s">
        <v>125</v>
      </c>
    </row>
    <row r="41" spans="2:7" s="1" customFormat="1" x14ac:dyDescent="0.25">
      <c r="B41" s="62">
        <v>1</v>
      </c>
      <c r="C41" s="58" t="s">
        <v>188</v>
      </c>
      <c r="D41" s="55" t="s">
        <v>184</v>
      </c>
      <c r="E41" s="55">
        <v>1</v>
      </c>
      <c r="F41" s="11">
        <v>9.11</v>
      </c>
      <c r="G41" s="63">
        <f>E41*F41</f>
        <v>9.11</v>
      </c>
    </row>
    <row r="42" spans="2:7" s="1" customFormat="1" x14ac:dyDescent="0.25">
      <c r="B42" s="62">
        <v>2</v>
      </c>
      <c r="C42" s="58" t="s">
        <v>192</v>
      </c>
      <c r="D42" s="55" t="s">
        <v>184</v>
      </c>
      <c r="E42" s="55">
        <v>1</v>
      </c>
      <c r="F42" s="11">
        <v>321.98</v>
      </c>
      <c r="G42" s="63">
        <f>E42*F42</f>
        <v>321.98</v>
      </c>
    </row>
    <row r="43" spans="2:7" s="1" customFormat="1" x14ac:dyDescent="0.25">
      <c r="B43" s="62">
        <v>3</v>
      </c>
      <c r="C43" s="58" t="s">
        <v>191</v>
      </c>
      <c r="D43" s="55" t="s">
        <v>184</v>
      </c>
      <c r="E43" s="55">
        <v>1</v>
      </c>
      <c r="F43" s="11">
        <v>82.15</v>
      </c>
      <c r="G43" s="63">
        <f>E43*F43</f>
        <v>82.15</v>
      </c>
    </row>
    <row r="44" spans="2:7" s="1" customFormat="1" x14ac:dyDescent="0.25">
      <c r="B44" s="113" t="s">
        <v>126</v>
      </c>
      <c r="C44" s="103"/>
      <c r="D44" s="103"/>
      <c r="E44" s="103"/>
      <c r="F44" s="103"/>
      <c r="G44" s="63">
        <f>SUM(G41:G43)</f>
        <v>413.24</v>
      </c>
    </row>
    <row r="45" spans="2:7" s="1" customFormat="1" ht="15.75" thickBot="1" x14ac:dyDescent="0.3">
      <c r="B45" s="114" t="s">
        <v>197</v>
      </c>
      <c r="C45" s="115"/>
      <c r="D45" s="115"/>
      <c r="E45" s="115"/>
      <c r="F45" s="115"/>
      <c r="G45" s="71">
        <f>ROUND(G44/12,2)</f>
        <v>34.44</v>
      </c>
    </row>
    <row r="46" spans="2:7" s="1" customFormat="1" x14ac:dyDescent="0.25">
      <c r="B46" s="68" t="s">
        <v>2</v>
      </c>
      <c r="C46" s="69" t="s">
        <v>175</v>
      </c>
      <c r="D46" s="69" t="s">
        <v>183</v>
      </c>
      <c r="E46" s="69" t="s">
        <v>123</v>
      </c>
      <c r="F46" s="69" t="s">
        <v>124</v>
      </c>
      <c r="G46" s="70" t="s">
        <v>125</v>
      </c>
    </row>
    <row r="47" spans="2:7" s="1" customFormat="1" x14ac:dyDescent="0.25">
      <c r="B47" s="62">
        <v>1</v>
      </c>
      <c r="C47" s="58" t="s">
        <v>189</v>
      </c>
      <c r="D47" s="55" t="s">
        <v>184</v>
      </c>
      <c r="E47" s="55">
        <v>1</v>
      </c>
      <c r="F47" s="11">
        <v>2250</v>
      </c>
      <c r="G47" s="63">
        <f>E47*F47</f>
        <v>2250</v>
      </c>
    </row>
    <row r="48" spans="2:7" s="1" customFormat="1" x14ac:dyDescent="0.25">
      <c r="B48" s="62">
        <v>2</v>
      </c>
      <c r="C48" s="58" t="s">
        <v>127</v>
      </c>
      <c r="D48" s="55" t="s">
        <v>190</v>
      </c>
      <c r="E48" s="55">
        <v>1</v>
      </c>
      <c r="F48" s="11">
        <v>7.2</v>
      </c>
      <c r="G48" s="63">
        <f>E48*F48</f>
        <v>7.2</v>
      </c>
    </row>
    <row r="49" spans="2:7" s="1" customFormat="1" x14ac:dyDescent="0.25">
      <c r="B49" s="62">
        <v>3</v>
      </c>
      <c r="C49" s="58" t="s">
        <v>174</v>
      </c>
      <c r="D49" s="55" t="s">
        <v>184</v>
      </c>
      <c r="E49" s="55">
        <v>1</v>
      </c>
      <c r="F49" s="11">
        <v>40.86</v>
      </c>
      <c r="G49" s="63">
        <f>E49*F49</f>
        <v>40.86</v>
      </c>
    </row>
    <row r="50" spans="2:7" s="1" customFormat="1" x14ac:dyDescent="0.25">
      <c r="B50" s="62">
        <v>4</v>
      </c>
      <c r="C50" s="58" t="s">
        <v>173</v>
      </c>
      <c r="D50" s="55" t="s">
        <v>184</v>
      </c>
      <c r="E50" s="55">
        <v>1</v>
      </c>
      <c r="F50" s="11">
        <v>0</v>
      </c>
      <c r="G50" s="63">
        <f>E50*F50</f>
        <v>0</v>
      </c>
    </row>
    <row r="51" spans="2:7" s="1" customFormat="1" x14ac:dyDescent="0.25">
      <c r="B51" s="113" t="s">
        <v>126</v>
      </c>
      <c r="C51" s="103"/>
      <c r="D51" s="103"/>
      <c r="E51" s="103"/>
      <c r="F51" s="103"/>
      <c r="G51" s="63">
        <f>SUM(G47:G50)</f>
        <v>2298.06</v>
      </c>
    </row>
    <row r="52" spans="2:7" s="1" customFormat="1" ht="15.75" thickBot="1" x14ac:dyDescent="0.3">
      <c r="B52" s="111" t="s">
        <v>197</v>
      </c>
      <c r="C52" s="112"/>
      <c r="D52" s="112"/>
      <c r="E52" s="112"/>
      <c r="F52" s="112"/>
      <c r="G52" s="64">
        <f>ROUND(G51/12,2)</f>
        <v>191.51</v>
      </c>
    </row>
    <row r="53" spans="2:7" s="1" customFormat="1" ht="15.75" thickBot="1" x14ac:dyDescent="0.3"/>
    <row r="54" spans="2:7" s="1" customFormat="1" x14ac:dyDescent="0.25">
      <c r="B54" s="105" t="s">
        <v>198</v>
      </c>
      <c r="C54" s="106"/>
      <c r="D54" s="106"/>
      <c r="E54" s="106"/>
      <c r="F54" s="106"/>
      <c r="G54" s="107"/>
    </row>
    <row r="55" spans="2:7" s="1" customFormat="1" ht="15.75" thickBot="1" x14ac:dyDescent="0.3">
      <c r="B55" s="108"/>
      <c r="C55" s="109"/>
      <c r="D55" s="109"/>
      <c r="E55" s="109"/>
      <c r="F55" s="109"/>
      <c r="G55" s="110"/>
    </row>
    <row r="56" spans="2:7" s="1" customFormat="1" x14ac:dyDescent="0.25">
      <c r="B56" s="68" t="s">
        <v>2</v>
      </c>
      <c r="C56" s="69" t="s">
        <v>155</v>
      </c>
      <c r="D56" s="69" t="s">
        <v>183</v>
      </c>
      <c r="E56" s="69" t="s">
        <v>123</v>
      </c>
      <c r="F56" s="69" t="s">
        <v>124</v>
      </c>
      <c r="G56" s="70" t="s">
        <v>125</v>
      </c>
    </row>
    <row r="57" spans="2:7" s="1" customFormat="1" x14ac:dyDescent="0.25">
      <c r="B57" s="62">
        <v>1</v>
      </c>
      <c r="C57" s="58" t="s">
        <v>181</v>
      </c>
      <c r="D57" s="55" t="s">
        <v>184</v>
      </c>
      <c r="E57" s="55">
        <v>2</v>
      </c>
      <c r="F57" s="11">
        <v>45</v>
      </c>
      <c r="G57" s="63">
        <f t="shared" ref="G57:G63" si="2">E57*F57</f>
        <v>90</v>
      </c>
    </row>
    <row r="58" spans="2:7" s="1" customFormat="1" x14ac:dyDescent="0.25">
      <c r="B58" s="62">
        <v>2</v>
      </c>
      <c r="C58" s="58" t="s">
        <v>180</v>
      </c>
      <c r="D58" s="55" t="s">
        <v>184</v>
      </c>
      <c r="E58" s="55">
        <v>2</v>
      </c>
      <c r="F58" s="11">
        <v>35</v>
      </c>
      <c r="G58" s="63">
        <f t="shared" si="2"/>
        <v>70</v>
      </c>
    </row>
    <row r="59" spans="2:7" s="1" customFormat="1" x14ac:dyDescent="0.25">
      <c r="B59" s="62">
        <v>3</v>
      </c>
      <c r="C59" s="58" t="s">
        <v>147</v>
      </c>
      <c r="D59" s="55" t="s">
        <v>184</v>
      </c>
      <c r="E59" s="55">
        <v>1</v>
      </c>
      <c r="F59" s="11">
        <v>8.9</v>
      </c>
      <c r="G59" s="63">
        <f t="shared" si="2"/>
        <v>8.9</v>
      </c>
    </row>
    <row r="60" spans="2:7" s="1" customFormat="1" x14ac:dyDescent="0.25">
      <c r="B60" s="62">
        <v>4</v>
      </c>
      <c r="C60" s="58" t="s">
        <v>187</v>
      </c>
      <c r="D60" s="55" t="s">
        <v>185</v>
      </c>
      <c r="E60" s="55">
        <v>1</v>
      </c>
      <c r="F60" s="11">
        <v>2.99</v>
      </c>
      <c r="G60" s="63">
        <f t="shared" si="2"/>
        <v>2.99</v>
      </c>
    </row>
    <row r="61" spans="2:7" s="1" customFormat="1" x14ac:dyDescent="0.25">
      <c r="B61" s="62">
        <v>5</v>
      </c>
      <c r="C61" s="58" t="s">
        <v>182</v>
      </c>
      <c r="D61" s="55" t="s">
        <v>185</v>
      </c>
      <c r="E61" s="55">
        <v>1</v>
      </c>
      <c r="F61" s="11">
        <v>55</v>
      </c>
      <c r="G61" s="63">
        <f t="shared" si="2"/>
        <v>55</v>
      </c>
    </row>
    <row r="62" spans="2:7" s="1" customFormat="1" x14ac:dyDescent="0.25">
      <c r="B62" s="62">
        <v>6</v>
      </c>
      <c r="C62" s="58" t="s">
        <v>186</v>
      </c>
      <c r="D62" s="55" t="s">
        <v>184</v>
      </c>
      <c r="E62" s="55">
        <v>1</v>
      </c>
      <c r="F62" s="11">
        <v>13.9</v>
      </c>
      <c r="G62" s="63">
        <f t="shared" si="2"/>
        <v>13.9</v>
      </c>
    </row>
    <row r="63" spans="2:7" s="1" customFormat="1" x14ac:dyDescent="0.25">
      <c r="B63" s="62">
        <v>7</v>
      </c>
      <c r="C63" s="58" t="s">
        <v>179</v>
      </c>
      <c r="D63" s="55" t="s">
        <v>184</v>
      </c>
      <c r="E63" s="55">
        <v>1</v>
      </c>
      <c r="F63" s="11">
        <v>8.82</v>
      </c>
      <c r="G63" s="63">
        <f t="shared" si="2"/>
        <v>8.82</v>
      </c>
    </row>
    <row r="64" spans="2:7" s="1" customFormat="1" x14ac:dyDescent="0.25">
      <c r="B64" s="113" t="s">
        <v>126</v>
      </c>
      <c r="C64" s="103"/>
      <c r="D64" s="103"/>
      <c r="E64" s="103"/>
      <c r="F64" s="103"/>
      <c r="G64" s="63">
        <f>SUM(G57:G63)</f>
        <v>249.61</v>
      </c>
    </row>
    <row r="65" spans="2:7" s="1" customFormat="1" ht="15.75" thickBot="1" x14ac:dyDescent="0.3">
      <c r="B65" s="111" t="s">
        <v>197</v>
      </c>
      <c r="C65" s="112"/>
      <c r="D65" s="112"/>
      <c r="E65" s="112"/>
      <c r="F65" s="112"/>
      <c r="G65" s="64">
        <f>ROUND(G64/12,2)</f>
        <v>20.8</v>
      </c>
    </row>
    <row r="66" spans="2:7" s="1" customFormat="1" x14ac:dyDescent="0.25">
      <c r="B66" s="68" t="s">
        <v>2</v>
      </c>
      <c r="C66" s="69" t="s">
        <v>172</v>
      </c>
      <c r="D66" s="69" t="s">
        <v>183</v>
      </c>
      <c r="E66" s="69" t="s">
        <v>123</v>
      </c>
      <c r="F66" s="69" t="s">
        <v>124</v>
      </c>
      <c r="G66" s="70" t="s">
        <v>125</v>
      </c>
    </row>
    <row r="67" spans="2:7" s="1" customFormat="1" x14ac:dyDescent="0.25">
      <c r="B67" s="62">
        <v>1</v>
      </c>
      <c r="C67" s="58" t="s">
        <v>188</v>
      </c>
      <c r="D67" s="55" t="s">
        <v>184</v>
      </c>
      <c r="E67" s="55">
        <v>1</v>
      </c>
      <c r="F67" s="11">
        <v>17.899999999999999</v>
      </c>
      <c r="G67" s="63">
        <f>E67*F67</f>
        <v>17.899999999999999</v>
      </c>
    </row>
    <row r="68" spans="2:7" s="1" customFormat="1" x14ac:dyDescent="0.25">
      <c r="B68" s="62">
        <v>2</v>
      </c>
      <c r="C68" s="58" t="s">
        <v>192</v>
      </c>
      <c r="D68" s="55" t="s">
        <v>184</v>
      </c>
      <c r="E68" s="55">
        <v>1</v>
      </c>
      <c r="F68" s="11">
        <f>AVERAGE(F16,F42)</f>
        <v>385.99</v>
      </c>
      <c r="G68" s="63">
        <f>E68*F68</f>
        <v>385.99</v>
      </c>
    </row>
    <row r="69" spans="2:7" s="1" customFormat="1" x14ac:dyDescent="0.25">
      <c r="B69" s="62">
        <v>3</v>
      </c>
      <c r="C69" s="58" t="s">
        <v>191</v>
      </c>
      <c r="D69" s="55" t="s">
        <v>184</v>
      </c>
      <c r="E69" s="55">
        <v>1</v>
      </c>
      <c r="F69" s="11">
        <v>45</v>
      </c>
      <c r="G69" s="63">
        <f>E69*F69</f>
        <v>45</v>
      </c>
    </row>
    <row r="70" spans="2:7" s="1" customFormat="1" x14ac:dyDescent="0.25">
      <c r="B70" s="113" t="s">
        <v>126</v>
      </c>
      <c r="C70" s="103"/>
      <c r="D70" s="103"/>
      <c r="E70" s="103"/>
      <c r="F70" s="103"/>
      <c r="G70" s="63">
        <f>SUM(G67:G69)</f>
        <v>448.89</v>
      </c>
    </row>
    <row r="71" spans="2:7" s="1" customFormat="1" ht="15.75" thickBot="1" x14ac:dyDescent="0.3">
      <c r="B71" s="111" t="s">
        <v>197</v>
      </c>
      <c r="C71" s="112"/>
      <c r="D71" s="112"/>
      <c r="E71" s="112"/>
      <c r="F71" s="112"/>
      <c r="G71" s="64">
        <f>ROUND(G70/12,2)</f>
        <v>37.409999999999997</v>
      </c>
    </row>
    <row r="72" spans="2:7" s="1" customFormat="1" x14ac:dyDescent="0.25">
      <c r="B72" s="65" t="s">
        <v>2</v>
      </c>
      <c r="C72" s="66" t="s">
        <v>175</v>
      </c>
      <c r="D72" s="66" t="s">
        <v>183</v>
      </c>
      <c r="E72" s="66" t="s">
        <v>123</v>
      </c>
      <c r="F72" s="66" t="s">
        <v>124</v>
      </c>
      <c r="G72" s="67" t="s">
        <v>125</v>
      </c>
    </row>
    <row r="73" spans="2:7" s="1" customFormat="1" x14ac:dyDescent="0.25">
      <c r="B73" s="62">
        <v>1</v>
      </c>
      <c r="C73" s="58" t="s">
        <v>189</v>
      </c>
      <c r="D73" s="55" t="s">
        <v>184</v>
      </c>
      <c r="E73" s="55">
        <v>1</v>
      </c>
      <c r="F73" s="11"/>
      <c r="G73" s="63">
        <f>E73*F73</f>
        <v>0</v>
      </c>
    </row>
    <row r="74" spans="2:7" s="1" customFormat="1" x14ac:dyDescent="0.25">
      <c r="B74" s="62">
        <v>2</v>
      </c>
      <c r="C74" s="58" t="s">
        <v>127</v>
      </c>
      <c r="D74" s="55" t="s">
        <v>190</v>
      </c>
      <c r="E74" s="55">
        <v>1</v>
      </c>
      <c r="F74" s="11"/>
      <c r="G74" s="63">
        <f>E74*F74</f>
        <v>0</v>
      </c>
    </row>
    <row r="75" spans="2:7" s="1" customFormat="1" x14ac:dyDescent="0.25">
      <c r="B75" s="62">
        <v>3</v>
      </c>
      <c r="C75" s="58" t="s">
        <v>174</v>
      </c>
      <c r="D75" s="55" t="s">
        <v>184</v>
      </c>
      <c r="E75" s="55">
        <v>1</v>
      </c>
      <c r="F75" s="11"/>
      <c r="G75" s="63">
        <f>E75*F75</f>
        <v>0</v>
      </c>
    </row>
    <row r="76" spans="2:7" s="1" customFormat="1" x14ac:dyDescent="0.25">
      <c r="B76" s="62">
        <v>4</v>
      </c>
      <c r="C76" s="58" t="s">
        <v>173</v>
      </c>
      <c r="D76" s="55" t="s">
        <v>184</v>
      </c>
      <c r="E76" s="55">
        <v>1</v>
      </c>
      <c r="F76" s="11"/>
      <c r="G76" s="63">
        <f>E76*F76</f>
        <v>0</v>
      </c>
    </row>
    <row r="77" spans="2:7" s="1" customFormat="1" x14ac:dyDescent="0.25">
      <c r="B77" s="113" t="s">
        <v>126</v>
      </c>
      <c r="C77" s="103"/>
      <c r="D77" s="103"/>
      <c r="E77" s="103"/>
      <c r="F77" s="103"/>
      <c r="G77" s="63">
        <f>SUM(G73:G76)</f>
        <v>0</v>
      </c>
    </row>
    <row r="78" spans="2:7" s="1" customFormat="1" ht="15.75" thickBot="1" x14ac:dyDescent="0.3">
      <c r="B78" s="111" t="s">
        <v>197</v>
      </c>
      <c r="C78" s="112"/>
      <c r="D78" s="112"/>
      <c r="E78" s="112"/>
      <c r="F78" s="112"/>
      <c r="G78" s="64">
        <f>ROUND(G77/12,2)</f>
        <v>0</v>
      </c>
    </row>
  </sheetData>
  <mergeCells count="21">
    <mergeCell ref="B78:F78"/>
    <mergeCell ref="B64:F64"/>
    <mergeCell ref="B65:F65"/>
    <mergeCell ref="B70:F70"/>
    <mergeCell ref="B71:F71"/>
    <mergeCell ref="B77:F77"/>
    <mergeCell ref="B54:G55"/>
    <mergeCell ref="B25:F25"/>
    <mergeCell ref="B26:F26"/>
    <mergeCell ref="B38:F38"/>
    <mergeCell ref="B39:F39"/>
    <mergeCell ref="B44:F44"/>
    <mergeCell ref="B45:F45"/>
    <mergeCell ref="B51:F51"/>
    <mergeCell ref="B2:G3"/>
    <mergeCell ref="B52:F52"/>
    <mergeCell ref="B28:G29"/>
    <mergeCell ref="B12:F12"/>
    <mergeCell ref="B13:F13"/>
    <mergeCell ref="B18:F18"/>
    <mergeCell ref="B19:F1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Anexo IV - Planilha Custos</vt:lpstr>
      <vt:lpstr>Posto Diurno</vt:lpstr>
      <vt:lpstr>Posto Noturno</vt:lpstr>
      <vt:lpstr>Insumos</vt:lpstr>
      <vt:lpstr>Plan1</vt:lpstr>
      <vt:lpstr>'Anexo IV - Planilha Custos'!Area_de_impressao</vt:lpstr>
      <vt:lpstr>Insumos!Area_de_impressao</vt:lpstr>
      <vt:lpstr>'Posto Diurno'!Area_de_impressao</vt:lpstr>
      <vt:lpstr>'Posto Noturno'!Area_de_impressao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Talge Ferreira</dc:creator>
  <cp:lastModifiedBy>Tiago Melo Gonsioroski</cp:lastModifiedBy>
  <cp:revision>0</cp:revision>
  <cp:lastPrinted>2022-08-05T14:28:01Z</cp:lastPrinted>
  <dcterms:created xsi:type="dcterms:W3CDTF">2012-09-26T13:09:57Z</dcterms:created>
  <dcterms:modified xsi:type="dcterms:W3CDTF">2022-09-28T16:11:04Z</dcterms:modified>
</cp:coreProperties>
</file>